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09"/>
  <workbookPr codeName="ThisWorkbook"/>
  <mc:AlternateContent xmlns:mc="http://schemas.openxmlformats.org/markup-compatibility/2006">
    <mc:Choice Requires="x15">
      <x15ac:absPath xmlns:x15ac="http://schemas.microsoft.com/office/spreadsheetml/2010/11/ac" url="C:\Users\User\Desktop\Abidjan\Documents pour l'archivage\"/>
    </mc:Choice>
  </mc:AlternateContent>
  <xr:revisionPtr revIDLastSave="0" documentId="8_{ABB758D4-B49C-4C02-A293-73C6B83DF81A}" xr6:coauthVersionLast="47" xr6:coauthVersionMax="47" xr10:uidLastSave="{00000000-0000-0000-0000-000000000000}"/>
  <bookViews>
    <workbookView xWindow="960" yWindow="5805" windowWidth="15360" windowHeight="7560" firstSheet="1" activeTab="1" xr2:uid="{00000000-000D-0000-FFFF-FFFF00000000}"/>
  </bookViews>
  <sheets>
    <sheet name="Note_AmendCAPI" sheetId="58" r:id="rId1"/>
    <sheet name="couvert" sheetId="1" r:id="rId2"/>
    <sheet name="TOC" sheetId="2" r:id="rId3"/>
    <sheet name="S0_Cont" sheetId="3" r:id="rId4"/>
    <sheet name="S01_Demo" sheetId="4" r:id="rId5"/>
    <sheet name="S02_Educ" sheetId="5" r:id="rId6"/>
    <sheet name="S03_Sante" sheetId="6" r:id="rId7"/>
    <sheet name="S04_Emploi_A" sheetId="7" r:id="rId8"/>
    <sheet name="S04_Emploi_B" sheetId="8" r:id="rId9"/>
    <sheet name="S04_Emploi_C" sheetId="9" r:id="rId10"/>
    <sheet name="S05_Revenus_Indiv" sheetId="10" r:id="rId11"/>
    <sheet name="S06_Epargne" sheetId="11" r:id="rId12"/>
    <sheet name="S7a_Conso_Re" sheetId="12" r:id="rId13"/>
    <sheet name="S7b_Conso_Al" sheetId="13" r:id="rId14"/>
    <sheet name="S8A_SecAlimentaire_FIES" sheetId="14" r:id="rId15"/>
    <sheet name="S8B_SecAlimentaire" sheetId="15" r:id="rId16"/>
    <sheet name="S9a__Conso_NA" sheetId="16" r:id="rId17"/>
    <sheet name="S9b__Conso_NA" sheetId="17" r:id="rId18"/>
    <sheet name="S9c__Conso_NA" sheetId="18" r:id="rId19"/>
    <sheet name="def" sheetId="41" state="hidden" r:id="rId20"/>
    <sheet name="folha2" sheetId="42" state="hidden" r:id="rId21"/>
    <sheet name="Folha3" sheetId="43" state="hidden" r:id="rId22"/>
    <sheet name="Folha4" sheetId="44" state="hidden" r:id="rId23"/>
    <sheet name="Folha5" sheetId="45" state="hidden" r:id="rId24"/>
    <sheet name="Folha6" sheetId="46" state="hidden" r:id="rId25"/>
    <sheet name="Folha7" sheetId="47" state="hidden" r:id="rId26"/>
    <sheet name="Folha8" sheetId="48" state="hidden" r:id="rId27"/>
    <sheet name="Folha9" sheetId="49" state="hidden" r:id="rId28"/>
    <sheet name="Folha10" sheetId="50" state="hidden" r:id="rId29"/>
    <sheet name="Folha11" sheetId="51" state="hidden" r:id="rId30"/>
    <sheet name="Folha12" sheetId="52" state="hidden" r:id="rId31"/>
    <sheet name="S9d___Conso_NA" sheetId="19" r:id="rId32"/>
    <sheet name="S9e__Conso_NA" sheetId="20" r:id="rId33"/>
    <sheet name="S9f__Conso_NA" sheetId="21" r:id="rId34"/>
    <sheet name="Folha13" sheetId="53" state="hidden" r:id="rId35"/>
    <sheet name="Folha14" sheetId="54" state="hidden" r:id="rId36"/>
    <sheet name="Folha15" sheetId="55" state="hidden" r:id="rId37"/>
    <sheet name="Folha16" sheetId="57" state="hidden" r:id="rId38"/>
    <sheet name="S10_Entreprises1 " sheetId="22" r:id="rId39"/>
    <sheet name="S10_Entreprises2" sheetId="23" r:id="rId40"/>
    <sheet name="S11_Logement " sheetId="65" r:id="rId41"/>
    <sheet name="S12_Avoirs" sheetId="25" r:id="rId42"/>
    <sheet name="S13_Transferts" sheetId="66" r:id="rId43"/>
    <sheet name="S14A_Chocs" sheetId="67" r:id="rId44"/>
    <sheet name="S14B_Chocs" sheetId="68" r:id="rId45"/>
    <sheet name="S15_Filet" sheetId="69" r:id="rId46"/>
    <sheet name="S16a_Agri" sheetId="30" r:id="rId47"/>
    <sheet name="S16b_Agri" sheetId="31" r:id="rId48"/>
    <sheet name="S16c_Agri" sheetId="32" r:id="rId49"/>
    <sheet name="S16d_Agri" sheetId="70" r:id="rId50"/>
    <sheet name="S17_Elevage" sheetId="33" r:id="rId51"/>
    <sheet name="S18_Peche" sheetId="35" r:id="rId52"/>
    <sheet name="S19_Equipements" sheetId="34" r:id="rId53"/>
    <sheet name="S20A_PauvreteSubjective" sheetId="71" r:id="rId54"/>
    <sheet name="S20B_Gouvernance" sheetId="72" r:id="rId55"/>
    <sheet name="S20C_Insecurite" sheetId="73" r:id="rId56"/>
    <sheet name="Unidades" sheetId="37" r:id="rId57"/>
    <sheet name="Cultures" sheetId="75" r:id="rId58"/>
    <sheet name="Cultures (2)" sheetId="76" r:id="rId59"/>
    <sheet name="Observações" sheetId="39" r:id="rId60"/>
    <sheet name="Plan1" sheetId="40" r:id="rId61"/>
  </sheets>
  <externalReferences>
    <externalReference r:id="rId62"/>
    <externalReference r:id="rId63"/>
  </externalReferences>
  <definedNames>
    <definedName name="_xlnm.Print_Titles" localSheetId="40">'S11_Logement '!$1:$1</definedName>
    <definedName name="_xlnm.Print_Titles" localSheetId="41">S12_Avoirs!$A:$G,S12_Avoirs!$1:$13</definedName>
    <definedName name="_xlnm.Print_Titles" localSheetId="46">S16a_Agri!$A:$A,S16a_Agri!$1:$2</definedName>
    <definedName name="_xlnm.Print_Titles" localSheetId="48">S16c_Agri!$A:$A</definedName>
    <definedName name="_xlnm.Print_Titles" localSheetId="49">S16d_Agri!$A:$A</definedName>
    <definedName name="_xlnm.Print_Titles" localSheetId="50">S17_Elevage!$A:$A</definedName>
    <definedName name="_xlnm.Print_Titles" localSheetId="51">S18_Peche!$1:$1</definedName>
    <definedName name="_xlnm.Print_Titles" localSheetId="13">S7b_Conso_Al!$1:$17</definedName>
    <definedName name="_xlnm.Print_Titles" localSheetId="16">S9a__Conso_NA!$1:$16</definedName>
    <definedName name="_xlnm.Print_Titles" localSheetId="32">S9e__Conso_NA!$1:$9</definedName>
    <definedName name="_xlnm.Print_Titles" localSheetId="33">S9f__Conso_NA!$1:$9</definedName>
    <definedName name="Z_2524630E_605A_4616_AD5D_6CF7B1E9752C_.wvu.Cols" localSheetId="5" hidden="1">S02_Educ!$BO:$BO</definedName>
    <definedName name="Z_2524630E_605A_4616_AD5D_6CF7B1E9752C_.wvu.Cols" localSheetId="41" hidden="1">S12_Avoirs!$U:$U,S12_Avoirs!$AC:$AC</definedName>
    <definedName name="Z_2524630E_605A_4616_AD5D_6CF7B1E9752C_.wvu.PrintArea" localSheetId="4" hidden="1">S01_Demo!$A$1:$BM$45</definedName>
    <definedName name="Z_2524630E_605A_4616_AD5D_6CF7B1E9752C_.wvu.PrintArea" localSheetId="5" hidden="1">S02_Educ!$A$1:$CH$40</definedName>
    <definedName name="Z_2524630E_605A_4616_AD5D_6CF7B1E9752C_.wvu.PrintArea" localSheetId="6" hidden="1">S03_Sante!$A$1:$BT$50</definedName>
    <definedName name="Z_2524630E_605A_4616_AD5D_6CF7B1E9752C_.wvu.PrintArea" localSheetId="8" hidden="1">S04_Emploi_B!$A$1:$BE$41</definedName>
    <definedName name="Z_2524630E_605A_4616_AD5D_6CF7B1E9752C_.wvu.PrintArea" localSheetId="9" hidden="1">S04_Emploi_C!$A$1:$AG$40</definedName>
    <definedName name="Z_2524630E_605A_4616_AD5D_6CF7B1E9752C_.wvu.PrintArea" localSheetId="10" hidden="1">S05_Revenus_Indiv!$A$1:$Q$29</definedName>
    <definedName name="Z_2524630E_605A_4616_AD5D_6CF7B1E9752C_.wvu.PrintArea" localSheetId="11" hidden="1">S06_Epargne!$A$1:$AE$36</definedName>
    <definedName name="Z_2524630E_605A_4616_AD5D_6CF7B1E9752C_.wvu.PrintArea" localSheetId="38" hidden="1">'S10_Entreprises1 '!$A$1:$Q$40</definedName>
    <definedName name="Z_2524630E_605A_4616_AD5D_6CF7B1E9752C_.wvu.PrintArea" localSheetId="41" hidden="1">S12_Avoirs!$A$1:$AN$58</definedName>
    <definedName name="Z_2524630E_605A_4616_AD5D_6CF7B1E9752C_.wvu.PrintArea" localSheetId="46" hidden="1">S16a_Agri!$A$1:$ET$34</definedName>
    <definedName name="Z_2524630E_605A_4616_AD5D_6CF7B1E9752C_.wvu.PrintArea" localSheetId="47" hidden="1">S16b_Agri!$A$1:$N$40</definedName>
    <definedName name="Z_2524630E_605A_4616_AD5D_6CF7B1E9752C_.wvu.PrintArea" localSheetId="48" hidden="1">S16c_Agri!$A$1:$U$33</definedName>
    <definedName name="Z_2524630E_605A_4616_AD5D_6CF7B1E9752C_.wvu.PrintArea" localSheetId="51" hidden="1">S18_Peche!$A$1:$AJ$91</definedName>
    <definedName name="Z_2524630E_605A_4616_AD5D_6CF7B1E9752C_.wvu.PrintArea" localSheetId="14" hidden="1">S8A_SecAlimentaire_FIES!$A$1:$S$42</definedName>
    <definedName name="Z_2524630E_605A_4616_AD5D_6CF7B1E9752C_.wvu.PrintArea" localSheetId="15" hidden="1">S8B_SecAlimentaire!$A$1:$M$23</definedName>
    <definedName name="Z_2524630E_605A_4616_AD5D_6CF7B1E9752C_.wvu.PrintArea" localSheetId="17" hidden="1">S9b__Conso_NA!$A$1:$D$29</definedName>
    <definedName name="Z_2524630E_605A_4616_AD5D_6CF7B1E9752C_.wvu.PrintArea" localSheetId="18" hidden="1">S9c__Conso_NA!$A$1:$D$35</definedName>
    <definedName name="Z_2524630E_605A_4616_AD5D_6CF7B1E9752C_.wvu.PrintArea" localSheetId="32" hidden="1">S9e__Conso_NA!$A$1:$D$21</definedName>
    <definedName name="Z_2524630E_605A_4616_AD5D_6CF7B1E9752C_.wvu.PrintArea" localSheetId="33" hidden="1">S9f__Conso_NA!$A$1:$D$66</definedName>
    <definedName name="Z_2524630E_605A_4616_AD5D_6CF7B1E9752C_.wvu.PrintArea" localSheetId="2" hidden="1">TOC!$A$1:$K$29</definedName>
    <definedName name="Z_2524630E_605A_4616_AD5D_6CF7B1E9752C_.wvu.PrintTitles" localSheetId="41" hidden="1">S12_Avoirs!$A:$G,S12_Avoirs!$1:$13</definedName>
    <definedName name="Z_2524630E_605A_4616_AD5D_6CF7B1E9752C_.wvu.PrintTitles" localSheetId="46" hidden="1">S16a_Agri!$A:$A,S16a_Agri!$1:$2</definedName>
    <definedName name="Z_2524630E_605A_4616_AD5D_6CF7B1E9752C_.wvu.PrintTitles" localSheetId="48" hidden="1">S16c_Agri!$A:$A</definedName>
    <definedName name="Z_2524630E_605A_4616_AD5D_6CF7B1E9752C_.wvu.PrintTitles" localSheetId="50" hidden="1">S17_Elevage!$A:$A</definedName>
    <definedName name="Z_2524630E_605A_4616_AD5D_6CF7B1E9752C_.wvu.PrintTitles" localSheetId="51" hidden="1">S18_Peche!$1:$1</definedName>
    <definedName name="Z_2524630E_605A_4616_AD5D_6CF7B1E9752C_.wvu.PrintTitles" localSheetId="13" hidden="1">S7b_Conso_Al!$1:$17</definedName>
    <definedName name="Z_2524630E_605A_4616_AD5D_6CF7B1E9752C_.wvu.PrintTitles" localSheetId="16" hidden="1">S9a__Conso_NA!$1:$16</definedName>
    <definedName name="Z_2524630E_605A_4616_AD5D_6CF7B1E9752C_.wvu.PrintTitles" localSheetId="32" hidden="1">S9e__Conso_NA!$1:$9</definedName>
    <definedName name="Z_2524630E_605A_4616_AD5D_6CF7B1E9752C_.wvu.PrintTitles" localSheetId="33" hidden="1">S9f__Conso_NA!$1:$9</definedName>
    <definedName name="Z_2524630E_605A_4616_AD5D_6CF7B1E9752C_.wvu.Rows" localSheetId="11" hidden="1">S06_Epargne!$16:$16</definedName>
    <definedName name="Z_5529DB6B_163A_4048_9107_267B30B97DF3_.wvu.Cols" localSheetId="5" hidden="1">S02_Educ!$BO:$BO</definedName>
    <definedName name="Z_5529DB6B_163A_4048_9107_267B30B97DF3_.wvu.Cols" localSheetId="41" hidden="1">S12_Avoirs!$U:$U,S12_Avoirs!$AC:$AC</definedName>
    <definedName name="Z_5529DB6B_163A_4048_9107_267B30B97DF3_.wvu.PrintArea" localSheetId="4" hidden="1">S01_Demo!$A$1:$BM$45</definedName>
    <definedName name="Z_5529DB6B_163A_4048_9107_267B30B97DF3_.wvu.PrintArea" localSheetId="5" hidden="1">S02_Educ!$A$1:$CH$40</definedName>
    <definedName name="Z_5529DB6B_163A_4048_9107_267B30B97DF3_.wvu.PrintArea" localSheetId="6" hidden="1">S03_Sante!$A$1:$BT$50</definedName>
    <definedName name="Z_5529DB6B_163A_4048_9107_267B30B97DF3_.wvu.PrintArea" localSheetId="8" hidden="1">S04_Emploi_B!$A$1:$BE$41</definedName>
    <definedName name="Z_5529DB6B_163A_4048_9107_267B30B97DF3_.wvu.PrintArea" localSheetId="9" hidden="1">S04_Emploi_C!$A$1:$AG$40</definedName>
    <definedName name="Z_5529DB6B_163A_4048_9107_267B30B97DF3_.wvu.PrintArea" localSheetId="10" hidden="1">S05_Revenus_Indiv!$A$1:$Q$29</definedName>
    <definedName name="Z_5529DB6B_163A_4048_9107_267B30B97DF3_.wvu.PrintArea" localSheetId="11" hidden="1">S06_Epargne!$A$1:$AE$36</definedName>
    <definedName name="Z_5529DB6B_163A_4048_9107_267B30B97DF3_.wvu.PrintArea" localSheetId="38" hidden="1">'S10_Entreprises1 '!$A$1:$Q$40</definedName>
    <definedName name="Z_5529DB6B_163A_4048_9107_267B30B97DF3_.wvu.PrintArea" localSheetId="41" hidden="1">S12_Avoirs!$A$1:$AN$58</definedName>
    <definedName name="Z_5529DB6B_163A_4048_9107_267B30B97DF3_.wvu.PrintArea" localSheetId="46" hidden="1">S16a_Agri!$A$1:$ET$34</definedName>
    <definedName name="Z_5529DB6B_163A_4048_9107_267B30B97DF3_.wvu.PrintArea" localSheetId="47" hidden="1">S16b_Agri!$A$1:$N$40</definedName>
    <definedName name="Z_5529DB6B_163A_4048_9107_267B30B97DF3_.wvu.PrintArea" localSheetId="48" hidden="1">S16c_Agri!$A$1:$U$33</definedName>
    <definedName name="Z_5529DB6B_163A_4048_9107_267B30B97DF3_.wvu.PrintArea" localSheetId="51" hidden="1">S18_Peche!$A$1:$AJ$91</definedName>
    <definedName name="Z_5529DB6B_163A_4048_9107_267B30B97DF3_.wvu.PrintArea" localSheetId="14" hidden="1">S8A_SecAlimentaire_FIES!$A$1:$S$42</definedName>
    <definedName name="Z_5529DB6B_163A_4048_9107_267B30B97DF3_.wvu.PrintArea" localSheetId="15" hidden="1">S8B_SecAlimentaire!$A$1:$M$23</definedName>
    <definedName name="Z_5529DB6B_163A_4048_9107_267B30B97DF3_.wvu.PrintArea" localSheetId="17" hidden="1">S9b__Conso_NA!$A$1:$D$29</definedName>
    <definedName name="Z_5529DB6B_163A_4048_9107_267B30B97DF3_.wvu.PrintArea" localSheetId="18" hidden="1">S9c__Conso_NA!$A$1:$D$35</definedName>
    <definedName name="Z_5529DB6B_163A_4048_9107_267B30B97DF3_.wvu.PrintArea" localSheetId="32" hidden="1">S9e__Conso_NA!$A$1:$D$21</definedName>
    <definedName name="Z_5529DB6B_163A_4048_9107_267B30B97DF3_.wvu.PrintArea" localSheetId="33" hidden="1">S9f__Conso_NA!$A$1:$D$66</definedName>
    <definedName name="Z_5529DB6B_163A_4048_9107_267B30B97DF3_.wvu.PrintArea" localSheetId="2" hidden="1">TOC!$A$1:$K$29</definedName>
    <definedName name="Z_5529DB6B_163A_4048_9107_267B30B97DF3_.wvu.PrintTitles" localSheetId="41" hidden="1">S12_Avoirs!$A:$G,S12_Avoirs!$1:$13</definedName>
    <definedName name="Z_5529DB6B_163A_4048_9107_267B30B97DF3_.wvu.PrintTitles" localSheetId="46" hidden="1">S16a_Agri!$A:$A,S16a_Agri!$1:$2</definedName>
    <definedName name="Z_5529DB6B_163A_4048_9107_267B30B97DF3_.wvu.PrintTitles" localSheetId="48" hidden="1">S16c_Agri!$A:$A</definedName>
    <definedName name="Z_5529DB6B_163A_4048_9107_267B30B97DF3_.wvu.PrintTitles" localSheetId="50" hidden="1">S17_Elevage!$A:$A</definedName>
    <definedName name="Z_5529DB6B_163A_4048_9107_267B30B97DF3_.wvu.PrintTitles" localSheetId="51" hidden="1">S18_Peche!$1:$1</definedName>
    <definedName name="Z_5529DB6B_163A_4048_9107_267B30B97DF3_.wvu.PrintTitles" localSheetId="13" hidden="1">S7b_Conso_Al!$1:$17</definedName>
    <definedName name="Z_5529DB6B_163A_4048_9107_267B30B97DF3_.wvu.PrintTitles" localSheetId="16" hidden="1">S9a__Conso_NA!$1:$16</definedName>
    <definedName name="Z_5529DB6B_163A_4048_9107_267B30B97DF3_.wvu.PrintTitles" localSheetId="32" hidden="1">S9e__Conso_NA!$1:$9</definedName>
    <definedName name="Z_5529DB6B_163A_4048_9107_267B30B97DF3_.wvu.PrintTitles" localSheetId="33" hidden="1">S9f__Conso_NA!$1:$9</definedName>
    <definedName name="Z_62F9A1C0_96E2_11D5_9CF8_9F2DE9CFA54B_.wvu.Cols" localSheetId="1" hidden="1">couvert!#REF!</definedName>
    <definedName name="Z_62F9A1C0_96E2_11D5_9CF8_9F2DE9CFA54B_.wvu.PrintArea" localSheetId="1" hidden="1">couvert!#REF!</definedName>
    <definedName name="Z_89903799_8228_4A6D_8A81_7F80BC61226D_.wvu.Cols" localSheetId="5" hidden="1">S02_Educ!$BO:$BO</definedName>
    <definedName name="Z_89903799_8228_4A6D_8A81_7F80BC61226D_.wvu.Cols" localSheetId="41" hidden="1">S12_Avoirs!$U:$U,S12_Avoirs!$AC:$AC</definedName>
    <definedName name="Z_89903799_8228_4A6D_8A81_7F80BC61226D_.wvu.PrintArea" localSheetId="4" hidden="1">S01_Demo!$A$1:$BM$45</definedName>
    <definedName name="Z_89903799_8228_4A6D_8A81_7F80BC61226D_.wvu.PrintArea" localSheetId="5" hidden="1">S02_Educ!$A$1:$CH$40</definedName>
    <definedName name="Z_89903799_8228_4A6D_8A81_7F80BC61226D_.wvu.PrintArea" localSheetId="6" hidden="1">S03_Sante!$A$1:$BT$50</definedName>
    <definedName name="Z_89903799_8228_4A6D_8A81_7F80BC61226D_.wvu.PrintArea" localSheetId="8" hidden="1">S04_Emploi_B!$A$1:$BE$41</definedName>
    <definedName name="Z_89903799_8228_4A6D_8A81_7F80BC61226D_.wvu.PrintArea" localSheetId="9" hidden="1">S04_Emploi_C!$A$1:$AG$40</definedName>
    <definedName name="Z_89903799_8228_4A6D_8A81_7F80BC61226D_.wvu.PrintArea" localSheetId="10" hidden="1">S05_Revenus_Indiv!$A$1:$Q$29</definedName>
    <definedName name="Z_89903799_8228_4A6D_8A81_7F80BC61226D_.wvu.PrintArea" localSheetId="11" hidden="1">S06_Epargne!$A$1:$AE$36</definedName>
    <definedName name="Z_89903799_8228_4A6D_8A81_7F80BC61226D_.wvu.PrintArea" localSheetId="38" hidden="1">'S10_Entreprises1 '!$A$1:$Q$40</definedName>
    <definedName name="Z_89903799_8228_4A6D_8A81_7F80BC61226D_.wvu.PrintArea" localSheetId="41" hidden="1">S12_Avoirs!$A$1:$AN$58</definedName>
    <definedName name="Z_89903799_8228_4A6D_8A81_7F80BC61226D_.wvu.PrintArea" localSheetId="46" hidden="1">S16a_Agri!$A$1:$ET$34</definedName>
    <definedName name="Z_89903799_8228_4A6D_8A81_7F80BC61226D_.wvu.PrintArea" localSheetId="47" hidden="1">S16b_Agri!$A$1:$N$40</definedName>
    <definedName name="Z_89903799_8228_4A6D_8A81_7F80BC61226D_.wvu.PrintArea" localSheetId="48" hidden="1">S16c_Agri!$A$1:$U$33</definedName>
    <definedName name="Z_89903799_8228_4A6D_8A81_7F80BC61226D_.wvu.PrintArea" localSheetId="51" hidden="1">S18_Peche!$A$1:$AJ$91</definedName>
    <definedName name="Z_89903799_8228_4A6D_8A81_7F80BC61226D_.wvu.PrintArea" localSheetId="14" hidden="1">S8A_SecAlimentaire_FIES!$A$1:$S$42</definedName>
    <definedName name="Z_89903799_8228_4A6D_8A81_7F80BC61226D_.wvu.PrintArea" localSheetId="15" hidden="1">S8B_SecAlimentaire!$A$1:$M$23</definedName>
    <definedName name="Z_89903799_8228_4A6D_8A81_7F80BC61226D_.wvu.PrintArea" localSheetId="17" hidden="1">S9b__Conso_NA!$A$1:$D$29</definedName>
    <definedName name="Z_89903799_8228_4A6D_8A81_7F80BC61226D_.wvu.PrintArea" localSheetId="18" hidden="1">S9c__Conso_NA!$A$1:$D$35</definedName>
    <definedName name="Z_89903799_8228_4A6D_8A81_7F80BC61226D_.wvu.PrintArea" localSheetId="32" hidden="1">S9e__Conso_NA!$A$1:$D$21</definedName>
    <definedName name="Z_89903799_8228_4A6D_8A81_7F80BC61226D_.wvu.PrintArea" localSheetId="33" hidden="1">S9f__Conso_NA!$A$1:$D$66</definedName>
    <definedName name="Z_89903799_8228_4A6D_8A81_7F80BC61226D_.wvu.PrintArea" localSheetId="2" hidden="1">TOC!$A$1:$K$29</definedName>
    <definedName name="Z_89903799_8228_4A6D_8A81_7F80BC61226D_.wvu.PrintTitles" localSheetId="41" hidden="1">S12_Avoirs!$A:$G,S12_Avoirs!$1:$13</definedName>
    <definedName name="Z_89903799_8228_4A6D_8A81_7F80BC61226D_.wvu.PrintTitles" localSheetId="46" hidden="1">S16a_Agri!$A:$A,S16a_Agri!$1:$2</definedName>
    <definedName name="Z_89903799_8228_4A6D_8A81_7F80BC61226D_.wvu.PrintTitles" localSheetId="48" hidden="1">S16c_Agri!$A:$A</definedName>
    <definedName name="Z_89903799_8228_4A6D_8A81_7F80BC61226D_.wvu.PrintTitles" localSheetId="50" hidden="1">S17_Elevage!$A:$A</definedName>
    <definedName name="Z_89903799_8228_4A6D_8A81_7F80BC61226D_.wvu.PrintTitles" localSheetId="51" hidden="1">S18_Peche!$1:$1</definedName>
    <definedName name="Z_89903799_8228_4A6D_8A81_7F80BC61226D_.wvu.PrintTitles" localSheetId="13" hidden="1">S7b_Conso_Al!$1:$17</definedName>
    <definedName name="Z_89903799_8228_4A6D_8A81_7F80BC61226D_.wvu.PrintTitles" localSheetId="16" hidden="1">S9a__Conso_NA!$1:$16</definedName>
    <definedName name="Z_89903799_8228_4A6D_8A81_7F80BC61226D_.wvu.PrintTitles" localSheetId="32" hidden="1">S9e__Conso_NA!$1:$9</definedName>
    <definedName name="Z_89903799_8228_4A6D_8A81_7F80BC61226D_.wvu.PrintTitles" localSheetId="33" hidden="1">S9f__Conso_NA!$1:$9</definedName>
    <definedName name="Z_9B0763AA_FA4B_479A_900C_C113E8BEEFEB_.wvu.Cols" localSheetId="5" hidden="1">S02_Educ!$BO:$BO</definedName>
    <definedName name="Z_9B0763AA_FA4B_479A_900C_C113E8BEEFEB_.wvu.Cols" localSheetId="41" hidden="1">S12_Avoirs!$U:$U,S12_Avoirs!$AC:$AC</definedName>
    <definedName name="Z_9B0763AA_FA4B_479A_900C_C113E8BEEFEB_.wvu.PrintArea" localSheetId="4" hidden="1">S01_Demo!$A$1:$BM$45</definedName>
    <definedName name="Z_9B0763AA_FA4B_479A_900C_C113E8BEEFEB_.wvu.PrintArea" localSheetId="5" hidden="1">S02_Educ!$A$1:$CH$40</definedName>
    <definedName name="Z_9B0763AA_FA4B_479A_900C_C113E8BEEFEB_.wvu.PrintArea" localSheetId="6" hidden="1">S03_Sante!$A$1:$BT$50</definedName>
    <definedName name="Z_9B0763AA_FA4B_479A_900C_C113E8BEEFEB_.wvu.PrintArea" localSheetId="8" hidden="1">S04_Emploi_B!$A$1:$BE$41</definedName>
    <definedName name="Z_9B0763AA_FA4B_479A_900C_C113E8BEEFEB_.wvu.PrintArea" localSheetId="9" hidden="1">S04_Emploi_C!$A$1:$AG$40</definedName>
    <definedName name="Z_9B0763AA_FA4B_479A_900C_C113E8BEEFEB_.wvu.PrintArea" localSheetId="10" hidden="1">S05_Revenus_Indiv!$A$1:$Q$29</definedName>
    <definedName name="Z_9B0763AA_FA4B_479A_900C_C113E8BEEFEB_.wvu.PrintArea" localSheetId="11" hidden="1">S06_Epargne!$A$1:$AE$36</definedName>
    <definedName name="Z_9B0763AA_FA4B_479A_900C_C113E8BEEFEB_.wvu.PrintArea" localSheetId="38" hidden="1">'S10_Entreprises1 '!$A$1:$Q$40</definedName>
    <definedName name="Z_9B0763AA_FA4B_479A_900C_C113E8BEEFEB_.wvu.PrintArea" localSheetId="41" hidden="1">S12_Avoirs!$A$1:$AN$58</definedName>
    <definedName name="Z_9B0763AA_FA4B_479A_900C_C113E8BEEFEB_.wvu.PrintArea" localSheetId="46" hidden="1">S16a_Agri!$A$1:$ET$34</definedName>
    <definedName name="Z_9B0763AA_FA4B_479A_900C_C113E8BEEFEB_.wvu.PrintArea" localSheetId="47" hidden="1">S16b_Agri!$A$1:$N$40</definedName>
    <definedName name="Z_9B0763AA_FA4B_479A_900C_C113E8BEEFEB_.wvu.PrintArea" localSheetId="48" hidden="1">S16c_Agri!$A$1:$U$33</definedName>
    <definedName name="Z_9B0763AA_FA4B_479A_900C_C113E8BEEFEB_.wvu.PrintArea" localSheetId="51" hidden="1">S18_Peche!$A$1:$AJ$91</definedName>
    <definedName name="Z_9B0763AA_FA4B_479A_900C_C113E8BEEFEB_.wvu.PrintArea" localSheetId="14" hidden="1">S8A_SecAlimentaire_FIES!$A$1:$S$42</definedName>
    <definedName name="Z_9B0763AA_FA4B_479A_900C_C113E8BEEFEB_.wvu.PrintArea" localSheetId="15" hidden="1">S8B_SecAlimentaire!$A$1:$M$23</definedName>
    <definedName name="Z_9B0763AA_FA4B_479A_900C_C113E8BEEFEB_.wvu.PrintArea" localSheetId="17" hidden="1">S9b__Conso_NA!$A$1:$D$29</definedName>
    <definedName name="Z_9B0763AA_FA4B_479A_900C_C113E8BEEFEB_.wvu.PrintArea" localSheetId="18" hidden="1">S9c__Conso_NA!$A$1:$D$35</definedName>
    <definedName name="Z_9B0763AA_FA4B_479A_900C_C113E8BEEFEB_.wvu.PrintArea" localSheetId="32" hidden="1">S9e__Conso_NA!$A$1:$D$21</definedName>
    <definedName name="Z_9B0763AA_FA4B_479A_900C_C113E8BEEFEB_.wvu.PrintArea" localSheetId="33" hidden="1">S9f__Conso_NA!$A$1:$D$66</definedName>
    <definedName name="Z_9B0763AA_FA4B_479A_900C_C113E8BEEFEB_.wvu.PrintArea" localSheetId="2" hidden="1">TOC!$A$1:$K$29</definedName>
    <definedName name="Z_9B0763AA_FA4B_479A_900C_C113E8BEEFEB_.wvu.PrintTitles" localSheetId="41" hidden="1">S12_Avoirs!$A:$G,S12_Avoirs!$1:$13</definedName>
    <definedName name="Z_9B0763AA_FA4B_479A_900C_C113E8BEEFEB_.wvu.PrintTitles" localSheetId="46" hidden="1">S16a_Agri!$A:$A,S16a_Agri!$1:$2</definedName>
    <definedName name="Z_9B0763AA_FA4B_479A_900C_C113E8BEEFEB_.wvu.PrintTitles" localSheetId="48" hidden="1">S16c_Agri!$A:$A</definedName>
    <definedName name="Z_9B0763AA_FA4B_479A_900C_C113E8BEEFEB_.wvu.PrintTitles" localSheetId="50" hidden="1">S17_Elevage!$A:$A</definedName>
    <definedName name="Z_9B0763AA_FA4B_479A_900C_C113E8BEEFEB_.wvu.PrintTitles" localSheetId="51" hidden="1">S18_Peche!$1:$1</definedName>
    <definedName name="Z_9B0763AA_FA4B_479A_900C_C113E8BEEFEB_.wvu.PrintTitles" localSheetId="13" hidden="1">S7b_Conso_Al!$1:$17</definedName>
    <definedName name="Z_9B0763AA_FA4B_479A_900C_C113E8BEEFEB_.wvu.PrintTitles" localSheetId="16" hidden="1">S9a__Conso_NA!$1:$16</definedName>
    <definedName name="Z_9B0763AA_FA4B_479A_900C_C113E8BEEFEB_.wvu.PrintTitles" localSheetId="32" hidden="1">S9e__Conso_NA!$1:$9</definedName>
    <definedName name="Z_9B0763AA_FA4B_479A_900C_C113E8BEEFEB_.wvu.PrintTitles" localSheetId="33" hidden="1">S9f__Conso_NA!$1:$9</definedName>
    <definedName name="Z_9C153D9E_615C_443B_9CD7_551163282F03_.wvu.Cols" localSheetId="5" hidden="1">S02_Educ!$BO:$BO</definedName>
    <definedName name="Z_9C153D9E_615C_443B_9CD7_551163282F03_.wvu.Cols" localSheetId="41" hidden="1">S12_Avoirs!$U:$U,S12_Avoirs!$AC:$AC</definedName>
    <definedName name="Z_9C153D9E_615C_443B_9CD7_551163282F03_.wvu.PrintArea" localSheetId="4" hidden="1">S01_Demo!$A$1:$BM$45</definedName>
    <definedName name="Z_9C153D9E_615C_443B_9CD7_551163282F03_.wvu.PrintArea" localSheetId="5" hidden="1">S02_Educ!$A$1:$CH$40</definedName>
    <definedName name="Z_9C153D9E_615C_443B_9CD7_551163282F03_.wvu.PrintArea" localSheetId="6" hidden="1">S03_Sante!$A$1:$BT$50</definedName>
    <definedName name="Z_9C153D9E_615C_443B_9CD7_551163282F03_.wvu.PrintArea" localSheetId="8" hidden="1">S04_Emploi_B!$A$1:$BE$41</definedName>
    <definedName name="Z_9C153D9E_615C_443B_9CD7_551163282F03_.wvu.PrintArea" localSheetId="9" hidden="1">S04_Emploi_C!$A$1:$AG$40</definedName>
    <definedName name="Z_9C153D9E_615C_443B_9CD7_551163282F03_.wvu.PrintArea" localSheetId="10" hidden="1">S05_Revenus_Indiv!$A$1:$Q$29</definedName>
    <definedName name="Z_9C153D9E_615C_443B_9CD7_551163282F03_.wvu.PrintArea" localSheetId="11" hidden="1">S06_Epargne!$A$1:$AE$36</definedName>
    <definedName name="Z_9C153D9E_615C_443B_9CD7_551163282F03_.wvu.PrintArea" localSheetId="38" hidden="1">'S10_Entreprises1 '!$A$1:$Q$40</definedName>
    <definedName name="Z_9C153D9E_615C_443B_9CD7_551163282F03_.wvu.PrintArea" localSheetId="41" hidden="1">S12_Avoirs!$A$1:$AN$58</definedName>
    <definedName name="Z_9C153D9E_615C_443B_9CD7_551163282F03_.wvu.PrintArea" localSheetId="46" hidden="1">S16a_Agri!$A$1:$ET$34</definedName>
    <definedName name="Z_9C153D9E_615C_443B_9CD7_551163282F03_.wvu.PrintArea" localSheetId="47" hidden="1">S16b_Agri!$A$1:$N$40</definedName>
    <definedName name="Z_9C153D9E_615C_443B_9CD7_551163282F03_.wvu.PrintArea" localSheetId="48" hidden="1">S16c_Agri!$A$1:$U$33</definedName>
    <definedName name="Z_9C153D9E_615C_443B_9CD7_551163282F03_.wvu.PrintArea" localSheetId="51" hidden="1">S18_Peche!$A$1:$AJ$91</definedName>
    <definedName name="Z_9C153D9E_615C_443B_9CD7_551163282F03_.wvu.PrintArea" localSheetId="14" hidden="1">S8A_SecAlimentaire_FIES!$A$1:$S$42</definedName>
    <definedName name="Z_9C153D9E_615C_443B_9CD7_551163282F03_.wvu.PrintArea" localSheetId="15" hidden="1">S8B_SecAlimentaire!$A$1:$M$23</definedName>
    <definedName name="Z_9C153D9E_615C_443B_9CD7_551163282F03_.wvu.PrintArea" localSheetId="17" hidden="1">S9b__Conso_NA!$A$1:$D$29</definedName>
    <definedName name="Z_9C153D9E_615C_443B_9CD7_551163282F03_.wvu.PrintArea" localSheetId="18" hidden="1">S9c__Conso_NA!$A$1:$D$35</definedName>
    <definedName name="Z_9C153D9E_615C_443B_9CD7_551163282F03_.wvu.PrintArea" localSheetId="32" hidden="1">S9e__Conso_NA!$A$1:$D$21</definedName>
    <definedName name="Z_9C153D9E_615C_443B_9CD7_551163282F03_.wvu.PrintArea" localSheetId="33" hidden="1">S9f__Conso_NA!$A$1:$D$66</definedName>
    <definedName name="Z_9C153D9E_615C_443B_9CD7_551163282F03_.wvu.PrintArea" localSheetId="2" hidden="1">TOC!$A$1:$K$29</definedName>
    <definedName name="Z_9C153D9E_615C_443B_9CD7_551163282F03_.wvu.PrintTitles" localSheetId="41" hidden="1">S12_Avoirs!$A:$G,S12_Avoirs!$1:$13</definedName>
    <definedName name="Z_9C153D9E_615C_443B_9CD7_551163282F03_.wvu.PrintTitles" localSheetId="46" hidden="1">S16a_Agri!$A:$A,S16a_Agri!$1:$2</definedName>
    <definedName name="Z_9C153D9E_615C_443B_9CD7_551163282F03_.wvu.PrintTitles" localSheetId="48" hidden="1">S16c_Agri!$A:$A</definedName>
    <definedName name="Z_9C153D9E_615C_443B_9CD7_551163282F03_.wvu.PrintTitles" localSheetId="50" hidden="1">S17_Elevage!$A:$A</definedName>
    <definedName name="Z_9C153D9E_615C_443B_9CD7_551163282F03_.wvu.PrintTitles" localSheetId="51" hidden="1">S18_Peche!$1:$1</definedName>
    <definedName name="Z_9C153D9E_615C_443B_9CD7_551163282F03_.wvu.PrintTitles" localSheetId="13" hidden="1">S7b_Conso_Al!$1:$17</definedName>
    <definedName name="Z_9C153D9E_615C_443B_9CD7_551163282F03_.wvu.PrintTitles" localSheetId="16" hidden="1">S9a__Conso_NA!$1:$16</definedName>
    <definedName name="Z_9C153D9E_615C_443B_9CD7_551163282F03_.wvu.PrintTitles" localSheetId="32" hidden="1">S9e__Conso_NA!$1:$9</definedName>
    <definedName name="Z_9C153D9E_615C_443B_9CD7_551163282F03_.wvu.PrintTitles" localSheetId="33" hidden="1">S9f__Conso_NA!$1:$9</definedName>
    <definedName name="Z_BE9F68F7_D81B_4526_9959_D871EC50BDFF_.wvu.Cols" localSheetId="5" hidden="1">S02_Educ!$BO:$BO</definedName>
    <definedName name="Z_BE9F68F7_D81B_4526_9959_D871EC50BDFF_.wvu.Cols" localSheetId="41" hidden="1">S12_Avoirs!$U:$U,S12_Avoirs!$AC:$AC</definedName>
    <definedName name="Z_BE9F68F7_D81B_4526_9959_D871EC50BDFF_.wvu.PrintArea" localSheetId="4" hidden="1">S01_Demo!$A$1:$BM$45</definedName>
    <definedName name="Z_BE9F68F7_D81B_4526_9959_D871EC50BDFF_.wvu.PrintArea" localSheetId="5" hidden="1">S02_Educ!$A$1:$CH$40</definedName>
    <definedName name="Z_BE9F68F7_D81B_4526_9959_D871EC50BDFF_.wvu.PrintArea" localSheetId="6" hidden="1">S03_Sante!$A$1:$BT$50</definedName>
    <definedName name="Z_BE9F68F7_D81B_4526_9959_D871EC50BDFF_.wvu.PrintArea" localSheetId="8" hidden="1">S04_Emploi_B!$A$1:$BE$41</definedName>
    <definedName name="Z_BE9F68F7_D81B_4526_9959_D871EC50BDFF_.wvu.PrintArea" localSheetId="9" hidden="1">S04_Emploi_C!$A$1:$AG$40</definedName>
    <definedName name="Z_BE9F68F7_D81B_4526_9959_D871EC50BDFF_.wvu.PrintArea" localSheetId="10" hidden="1">S05_Revenus_Indiv!$A$1:$Q$29</definedName>
    <definedName name="Z_BE9F68F7_D81B_4526_9959_D871EC50BDFF_.wvu.PrintArea" localSheetId="11" hidden="1">S06_Epargne!$A$1:$AE$36</definedName>
    <definedName name="Z_BE9F68F7_D81B_4526_9959_D871EC50BDFF_.wvu.PrintArea" localSheetId="38" hidden="1">'S10_Entreprises1 '!$A$1:$Q$40</definedName>
    <definedName name="Z_BE9F68F7_D81B_4526_9959_D871EC50BDFF_.wvu.PrintArea" localSheetId="41" hidden="1">S12_Avoirs!$A$1:$AN$58</definedName>
    <definedName name="Z_BE9F68F7_D81B_4526_9959_D871EC50BDFF_.wvu.PrintArea" localSheetId="46" hidden="1">S16a_Agri!$A$1:$ET$34</definedName>
    <definedName name="Z_BE9F68F7_D81B_4526_9959_D871EC50BDFF_.wvu.PrintArea" localSheetId="47" hidden="1">S16b_Agri!$A$1:$N$40</definedName>
    <definedName name="Z_BE9F68F7_D81B_4526_9959_D871EC50BDFF_.wvu.PrintArea" localSheetId="48" hidden="1">S16c_Agri!$A$1:$U$33</definedName>
    <definedName name="Z_BE9F68F7_D81B_4526_9959_D871EC50BDFF_.wvu.PrintArea" localSheetId="51" hidden="1">S18_Peche!$A$1:$AJ$91</definedName>
    <definedName name="Z_BE9F68F7_D81B_4526_9959_D871EC50BDFF_.wvu.PrintArea" localSheetId="14" hidden="1">S8A_SecAlimentaire_FIES!$A$1:$S$42</definedName>
    <definedName name="Z_BE9F68F7_D81B_4526_9959_D871EC50BDFF_.wvu.PrintArea" localSheetId="15" hidden="1">S8B_SecAlimentaire!$A$1:$M$23</definedName>
    <definedName name="Z_BE9F68F7_D81B_4526_9959_D871EC50BDFF_.wvu.PrintArea" localSheetId="17" hidden="1">S9b__Conso_NA!$A$1:$D$29</definedName>
    <definedName name="Z_BE9F68F7_D81B_4526_9959_D871EC50BDFF_.wvu.PrintArea" localSheetId="18" hidden="1">S9c__Conso_NA!$A$1:$D$35</definedName>
    <definedName name="Z_BE9F68F7_D81B_4526_9959_D871EC50BDFF_.wvu.PrintArea" localSheetId="32" hidden="1">S9e__Conso_NA!$A$1:$D$21</definedName>
    <definedName name="Z_BE9F68F7_D81B_4526_9959_D871EC50BDFF_.wvu.PrintArea" localSheetId="33" hidden="1">S9f__Conso_NA!$A$1:$D$66</definedName>
    <definedName name="Z_BE9F68F7_D81B_4526_9959_D871EC50BDFF_.wvu.PrintArea" localSheetId="2" hidden="1">TOC!$A$1:$K$29</definedName>
    <definedName name="Z_BE9F68F7_D81B_4526_9959_D871EC50BDFF_.wvu.PrintTitles" localSheetId="41" hidden="1">S12_Avoirs!$A:$G,S12_Avoirs!$1:$13</definedName>
    <definedName name="Z_BE9F68F7_D81B_4526_9959_D871EC50BDFF_.wvu.PrintTitles" localSheetId="46" hidden="1">S16a_Agri!$A:$A,S16a_Agri!$1:$2</definedName>
    <definedName name="Z_BE9F68F7_D81B_4526_9959_D871EC50BDFF_.wvu.PrintTitles" localSheetId="48" hidden="1">S16c_Agri!$A:$A</definedName>
    <definedName name="Z_BE9F68F7_D81B_4526_9959_D871EC50BDFF_.wvu.PrintTitles" localSheetId="50" hidden="1">S17_Elevage!$A:$A</definedName>
    <definedName name="Z_BE9F68F7_D81B_4526_9959_D871EC50BDFF_.wvu.PrintTitles" localSheetId="51" hidden="1">S18_Peche!$1:$1</definedName>
    <definedName name="Z_BE9F68F7_D81B_4526_9959_D871EC50BDFF_.wvu.PrintTitles" localSheetId="13" hidden="1">S7b_Conso_Al!$1:$17</definedName>
    <definedName name="Z_BE9F68F7_D81B_4526_9959_D871EC50BDFF_.wvu.PrintTitles" localSheetId="16" hidden="1">S9a__Conso_NA!$1:$16</definedName>
    <definedName name="Z_BE9F68F7_D81B_4526_9959_D871EC50BDFF_.wvu.PrintTitles" localSheetId="32" hidden="1">S9e__Conso_NA!$1:$9</definedName>
    <definedName name="Z_BE9F68F7_D81B_4526_9959_D871EC50BDFF_.wvu.PrintTitles" localSheetId="33" hidden="1">S9f__Conso_NA!$1:$9</definedName>
    <definedName name="Z_BFEC163F_7C4E_49B7_9F32_15225772E72F_.wvu.Cols" localSheetId="5" hidden="1">S02_Educ!$BO:$BO</definedName>
    <definedName name="Z_BFEC163F_7C4E_49B7_9F32_15225772E72F_.wvu.Cols" localSheetId="41" hidden="1">S12_Avoirs!$U:$U,S12_Avoirs!$AC:$AC</definedName>
    <definedName name="Z_BFEC163F_7C4E_49B7_9F32_15225772E72F_.wvu.PrintArea" localSheetId="4" hidden="1">S01_Demo!$A$1:$BM$45</definedName>
    <definedName name="Z_BFEC163F_7C4E_49B7_9F32_15225772E72F_.wvu.PrintArea" localSheetId="5" hidden="1">S02_Educ!$A$1:$CH$40</definedName>
    <definedName name="Z_BFEC163F_7C4E_49B7_9F32_15225772E72F_.wvu.PrintArea" localSheetId="6" hidden="1">S03_Sante!$A$1:$BT$50</definedName>
    <definedName name="Z_BFEC163F_7C4E_49B7_9F32_15225772E72F_.wvu.PrintArea" localSheetId="8" hidden="1">S04_Emploi_B!$A$1:$BE$41</definedName>
    <definedName name="Z_BFEC163F_7C4E_49B7_9F32_15225772E72F_.wvu.PrintArea" localSheetId="9" hidden="1">S04_Emploi_C!$A$1:$AG$40</definedName>
    <definedName name="Z_BFEC163F_7C4E_49B7_9F32_15225772E72F_.wvu.PrintArea" localSheetId="10" hidden="1">S05_Revenus_Indiv!$A$1:$Q$29</definedName>
    <definedName name="Z_BFEC163F_7C4E_49B7_9F32_15225772E72F_.wvu.PrintArea" localSheetId="11" hidden="1">S06_Epargne!$A$1:$AE$36</definedName>
    <definedName name="Z_BFEC163F_7C4E_49B7_9F32_15225772E72F_.wvu.PrintArea" localSheetId="38" hidden="1">'S10_Entreprises1 '!$A$1:$Q$40</definedName>
    <definedName name="Z_BFEC163F_7C4E_49B7_9F32_15225772E72F_.wvu.PrintArea" localSheetId="41" hidden="1">S12_Avoirs!$A$1:$AN$58</definedName>
    <definedName name="Z_BFEC163F_7C4E_49B7_9F32_15225772E72F_.wvu.PrintArea" localSheetId="46" hidden="1">S16a_Agri!$A$1:$ET$34</definedName>
    <definedName name="Z_BFEC163F_7C4E_49B7_9F32_15225772E72F_.wvu.PrintArea" localSheetId="47" hidden="1">S16b_Agri!$A$1:$N$40</definedName>
    <definedName name="Z_BFEC163F_7C4E_49B7_9F32_15225772E72F_.wvu.PrintArea" localSheetId="48" hidden="1">S16c_Agri!$A$1:$U$33</definedName>
    <definedName name="Z_BFEC163F_7C4E_49B7_9F32_15225772E72F_.wvu.PrintArea" localSheetId="51" hidden="1">S18_Peche!$A$1:$AJ$91</definedName>
    <definedName name="Z_BFEC163F_7C4E_49B7_9F32_15225772E72F_.wvu.PrintArea" localSheetId="14" hidden="1">S8A_SecAlimentaire_FIES!$A$1:$S$42</definedName>
    <definedName name="Z_BFEC163F_7C4E_49B7_9F32_15225772E72F_.wvu.PrintArea" localSheetId="15" hidden="1">S8B_SecAlimentaire!$A$1:$M$23</definedName>
    <definedName name="Z_BFEC163F_7C4E_49B7_9F32_15225772E72F_.wvu.PrintArea" localSheetId="17" hidden="1">S9b__Conso_NA!$A$1:$D$29</definedName>
    <definedName name="Z_BFEC163F_7C4E_49B7_9F32_15225772E72F_.wvu.PrintArea" localSheetId="18" hidden="1">S9c__Conso_NA!$A$1:$D$35</definedName>
    <definedName name="Z_BFEC163F_7C4E_49B7_9F32_15225772E72F_.wvu.PrintArea" localSheetId="32" hidden="1">S9e__Conso_NA!$A$1:$D$21</definedName>
    <definedName name="Z_BFEC163F_7C4E_49B7_9F32_15225772E72F_.wvu.PrintArea" localSheetId="33" hidden="1">S9f__Conso_NA!$A$1:$D$66</definedName>
    <definedName name="Z_BFEC163F_7C4E_49B7_9F32_15225772E72F_.wvu.PrintArea" localSheetId="2" hidden="1">TOC!$A$1:$K$29</definedName>
    <definedName name="Z_BFEC163F_7C4E_49B7_9F32_15225772E72F_.wvu.PrintTitles" localSheetId="41" hidden="1">S12_Avoirs!$A:$G,S12_Avoirs!$1:$13</definedName>
    <definedName name="Z_BFEC163F_7C4E_49B7_9F32_15225772E72F_.wvu.PrintTitles" localSheetId="46" hidden="1">S16a_Agri!$A:$A,S16a_Agri!$1:$2</definedName>
    <definedName name="Z_BFEC163F_7C4E_49B7_9F32_15225772E72F_.wvu.PrintTitles" localSheetId="48" hidden="1">S16c_Agri!$A:$A</definedName>
    <definedName name="Z_BFEC163F_7C4E_49B7_9F32_15225772E72F_.wvu.PrintTitles" localSheetId="50" hidden="1">S17_Elevage!$A:$A</definedName>
    <definedName name="Z_BFEC163F_7C4E_49B7_9F32_15225772E72F_.wvu.PrintTitles" localSheetId="51" hidden="1">S18_Peche!$1:$1</definedName>
    <definedName name="Z_BFEC163F_7C4E_49B7_9F32_15225772E72F_.wvu.PrintTitles" localSheetId="13" hidden="1">S7b_Conso_Al!$1:$17</definedName>
    <definedName name="Z_BFEC163F_7C4E_49B7_9F32_15225772E72F_.wvu.PrintTitles" localSheetId="16" hidden="1">S9a__Conso_NA!$1:$16</definedName>
    <definedName name="Z_BFEC163F_7C4E_49B7_9F32_15225772E72F_.wvu.PrintTitles" localSheetId="32" hidden="1">S9e__Conso_NA!$1:$9</definedName>
    <definedName name="Z_BFEC163F_7C4E_49B7_9F32_15225772E72F_.wvu.PrintTitles" localSheetId="33" hidden="1">S9f__Conso_NA!$1:$9</definedName>
    <definedName name="Z_C9D2DBB1_CD01_4732_8C86_64BE16C94753_.wvu.Cols" localSheetId="5" hidden="1">S02_Educ!$BO:$BO</definedName>
    <definedName name="Z_C9D2DBB1_CD01_4732_8C86_64BE16C94753_.wvu.Cols" localSheetId="41" hidden="1">S12_Avoirs!$U:$U,S12_Avoirs!$AC:$AC</definedName>
    <definedName name="Z_C9D2DBB1_CD01_4732_8C86_64BE16C94753_.wvu.PrintArea" localSheetId="4" hidden="1">S01_Demo!$A$1:$BM$45</definedName>
    <definedName name="Z_C9D2DBB1_CD01_4732_8C86_64BE16C94753_.wvu.PrintArea" localSheetId="5" hidden="1">S02_Educ!$A$1:$CH$40</definedName>
    <definedName name="Z_C9D2DBB1_CD01_4732_8C86_64BE16C94753_.wvu.PrintArea" localSheetId="6" hidden="1">S03_Sante!$A$1:$BT$50</definedName>
    <definedName name="Z_C9D2DBB1_CD01_4732_8C86_64BE16C94753_.wvu.PrintArea" localSheetId="8" hidden="1">S04_Emploi_B!$A$1:$BE$41</definedName>
    <definedName name="Z_C9D2DBB1_CD01_4732_8C86_64BE16C94753_.wvu.PrintArea" localSheetId="9" hidden="1">S04_Emploi_C!$A$1:$AG$40</definedName>
    <definedName name="Z_C9D2DBB1_CD01_4732_8C86_64BE16C94753_.wvu.PrintArea" localSheetId="10" hidden="1">S05_Revenus_Indiv!$A$1:$Q$29</definedName>
    <definedName name="Z_C9D2DBB1_CD01_4732_8C86_64BE16C94753_.wvu.PrintArea" localSheetId="11" hidden="1">S06_Epargne!$A$1:$AE$36</definedName>
    <definedName name="Z_C9D2DBB1_CD01_4732_8C86_64BE16C94753_.wvu.PrintArea" localSheetId="38" hidden="1">'S10_Entreprises1 '!$A$1:$Q$40</definedName>
    <definedName name="Z_C9D2DBB1_CD01_4732_8C86_64BE16C94753_.wvu.PrintArea" localSheetId="41" hidden="1">S12_Avoirs!$A$1:$AN$58</definedName>
    <definedName name="Z_C9D2DBB1_CD01_4732_8C86_64BE16C94753_.wvu.PrintArea" localSheetId="46" hidden="1">S16a_Agri!$A$1:$ET$34</definedName>
    <definedName name="Z_C9D2DBB1_CD01_4732_8C86_64BE16C94753_.wvu.PrintArea" localSheetId="47" hidden="1">S16b_Agri!$A$1:$N$40</definedName>
    <definedName name="Z_C9D2DBB1_CD01_4732_8C86_64BE16C94753_.wvu.PrintArea" localSheetId="48" hidden="1">S16c_Agri!$A$1:$U$33</definedName>
    <definedName name="Z_C9D2DBB1_CD01_4732_8C86_64BE16C94753_.wvu.PrintArea" localSheetId="51" hidden="1">S18_Peche!$A$1:$AJ$91</definedName>
    <definedName name="Z_C9D2DBB1_CD01_4732_8C86_64BE16C94753_.wvu.PrintArea" localSheetId="14" hidden="1">S8A_SecAlimentaire_FIES!$A$1:$S$42</definedName>
    <definedName name="Z_C9D2DBB1_CD01_4732_8C86_64BE16C94753_.wvu.PrintArea" localSheetId="15" hidden="1">S8B_SecAlimentaire!$A$1:$M$23</definedName>
    <definedName name="Z_C9D2DBB1_CD01_4732_8C86_64BE16C94753_.wvu.PrintArea" localSheetId="17" hidden="1">S9b__Conso_NA!$A$1:$D$29</definedName>
    <definedName name="Z_C9D2DBB1_CD01_4732_8C86_64BE16C94753_.wvu.PrintArea" localSheetId="18" hidden="1">S9c__Conso_NA!$A$1:$D$35</definedName>
    <definedName name="Z_C9D2DBB1_CD01_4732_8C86_64BE16C94753_.wvu.PrintArea" localSheetId="32" hidden="1">S9e__Conso_NA!$A$1:$D$21</definedName>
    <definedName name="Z_C9D2DBB1_CD01_4732_8C86_64BE16C94753_.wvu.PrintArea" localSheetId="33" hidden="1">S9f__Conso_NA!$A$1:$D$66</definedName>
    <definedName name="Z_C9D2DBB1_CD01_4732_8C86_64BE16C94753_.wvu.PrintArea" localSheetId="2" hidden="1">TOC!$A$1:$K$29</definedName>
    <definedName name="Z_C9D2DBB1_CD01_4732_8C86_64BE16C94753_.wvu.PrintTitles" localSheetId="41" hidden="1">S12_Avoirs!$A:$G,S12_Avoirs!$1:$13</definedName>
    <definedName name="Z_C9D2DBB1_CD01_4732_8C86_64BE16C94753_.wvu.PrintTitles" localSheetId="46" hidden="1">S16a_Agri!$A:$A,S16a_Agri!$1:$2</definedName>
    <definedName name="Z_C9D2DBB1_CD01_4732_8C86_64BE16C94753_.wvu.PrintTitles" localSheetId="48" hidden="1">S16c_Agri!$A:$A</definedName>
    <definedName name="Z_C9D2DBB1_CD01_4732_8C86_64BE16C94753_.wvu.PrintTitles" localSheetId="50" hidden="1">S17_Elevage!$A:$A</definedName>
    <definedName name="Z_C9D2DBB1_CD01_4732_8C86_64BE16C94753_.wvu.PrintTitles" localSheetId="51" hidden="1">S18_Peche!$1:$1</definedName>
    <definedName name="Z_C9D2DBB1_CD01_4732_8C86_64BE16C94753_.wvu.PrintTitles" localSheetId="13" hidden="1">S7b_Conso_Al!$1:$17</definedName>
    <definedName name="Z_C9D2DBB1_CD01_4732_8C86_64BE16C94753_.wvu.PrintTitles" localSheetId="16" hidden="1">S9a__Conso_NA!$1:$16</definedName>
    <definedName name="Z_C9D2DBB1_CD01_4732_8C86_64BE16C94753_.wvu.PrintTitles" localSheetId="32" hidden="1">S9e__Conso_NA!$1:$9</definedName>
    <definedName name="Z_C9D2DBB1_CD01_4732_8C86_64BE16C94753_.wvu.PrintTitles" localSheetId="33" hidden="1">S9f__Conso_NA!$1:$9</definedName>
    <definedName name="Z_EF790C5B_80DA_4544_9EB7_EFE0323B2298_.wvu.Cols" localSheetId="5" hidden="1">S02_Educ!$BO:$BO</definedName>
    <definedName name="Z_EF790C5B_80DA_4544_9EB7_EFE0323B2298_.wvu.Cols" localSheetId="41" hidden="1">S12_Avoirs!$U:$U,S12_Avoirs!$AC:$AC</definedName>
    <definedName name="Z_EF790C5B_80DA_4544_9EB7_EFE0323B2298_.wvu.PrintArea" localSheetId="4" hidden="1">S01_Demo!$A$1:$BM$45</definedName>
    <definedName name="Z_EF790C5B_80DA_4544_9EB7_EFE0323B2298_.wvu.PrintArea" localSheetId="5" hidden="1">S02_Educ!$A$1:$CH$40</definedName>
    <definedName name="Z_EF790C5B_80DA_4544_9EB7_EFE0323B2298_.wvu.PrintArea" localSheetId="6" hidden="1">S03_Sante!$A$1:$BT$50</definedName>
    <definedName name="Z_EF790C5B_80DA_4544_9EB7_EFE0323B2298_.wvu.PrintArea" localSheetId="8" hidden="1">S04_Emploi_B!$A$1:$BE$41</definedName>
    <definedName name="Z_EF790C5B_80DA_4544_9EB7_EFE0323B2298_.wvu.PrintArea" localSheetId="9" hidden="1">S04_Emploi_C!$A$1:$AG$40</definedName>
    <definedName name="Z_EF790C5B_80DA_4544_9EB7_EFE0323B2298_.wvu.PrintArea" localSheetId="10" hidden="1">S05_Revenus_Indiv!$A$1:$Q$29</definedName>
    <definedName name="Z_EF790C5B_80DA_4544_9EB7_EFE0323B2298_.wvu.PrintArea" localSheetId="11" hidden="1">S06_Epargne!$A$1:$AE$36</definedName>
    <definedName name="Z_EF790C5B_80DA_4544_9EB7_EFE0323B2298_.wvu.PrintArea" localSheetId="38" hidden="1">'S10_Entreprises1 '!$A$1:$Q$40</definedName>
    <definedName name="Z_EF790C5B_80DA_4544_9EB7_EFE0323B2298_.wvu.PrintArea" localSheetId="41" hidden="1">S12_Avoirs!$A$1:$AN$58</definedName>
    <definedName name="Z_EF790C5B_80DA_4544_9EB7_EFE0323B2298_.wvu.PrintArea" localSheetId="46" hidden="1">S16a_Agri!$A$1:$ET$34</definedName>
    <definedName name="Z_EF790C5B_80DA_4544_9EB7_EFE0323B2298_.wvu.PrintArea" localSheetId="47" hidden="1">S16b_Agri!$A$1:$N$40</definedName>
    <definedName name="Z_EF790C5B_80DA_4544_9EB7_EFE0323B2298_.wvu.PrintArea" localSheetId="48" hidden="1">S16c_Agri!$A$1:$U$33</definedName>
    <definedName name="Z_EF790C5B_80DA_4544_9EB7_EFE0323B2298_.wvu.PrintArea" localSheetId="51" hidden="1">S18_Peche!$A$1:$AJ$91</definedName>
    <definedName name="Z_EF790C5B_80DA_4544_9EB7_EFE0323B2298_.wvu.PrintArea" localSheetId="14" hidden="1">S8A_SecAlimentaire_FIES!$A$1:$S$42</definedName>
    <definedName name="Z_EF790C5B_80DA_4544_9EB7_EFE0323B2298_.wvu.PrintArea" localSheetId="15" hidden="1">S8B_SecAlimentaire!$A$1:$M$23</definedName>
    <definedName name="Z_EF790C5B_80DA_4544_9EB7_EFE0323B2298_.wvu.PrintArea" localSheetId="17" hidden="1">S9b__Conso_NA!$A$1:$D$29</definedName>
    <definedName name="Z_EF790C5B_80DA_4544_9EB7_EFE0323B2298_.wvu.PrintArea" localSheetId="18" hidden="1">S9c__Conso_NA!$A$1:$D$35</definedName>
    <definedName name="Z_EF790C5B_80DA_4544_9EB7_EFE0323B2298_.wvu.PrintArea" localSheetId="32" hidden="1">S9e__Conso_NA!$A$1:$D$21</definedName>
    <definedName name="Z_EF790C5B_80DA_4544_9EB7_EFE0323B2298_.wvu.PrintArea" localSheetId="33" hidden="1">S9f__Conso_NA!$A$1:$D$66</definedName>
    <definedName name="Z_EF790C5B_80DA_4544_9EB7_EFE0323B2298_.wvu.PrintArea" localSheetId="2" hidden="1">TOC!$A$1:$K$29</definedName>
    <definedName name="Z_EF790C5B_80DA_4544_9EB7_EFE0323B2298_.wvu.PrintTitles" localSheetId="41" hidden="1">S12_Avoirs!$A:$G,S12_Avoirs!$1:$13</definedName>
    <definedName name="Z_EF790C5B_80DA_4544_9EB7_EFE0323B2298_.wvu.PrintTitles" localSheetId="46" hidden="1">S16a_Agri!$A:$A,S16a_Agri!$1:$2</definedName>
    <definedName name="Z_EF790C5B_80DA_4544_9EB7_EFE0323B2298_.wvu.PrintTitles" localSheetId="48" hidden="1">S16c_Agri!$A:$A</definedName>
    <definedName name="Z_EF790C5B_80DA_4544_9EB7_EFE0323B2298_.wvu.PrintTitles" localSheetId="50" hidden="1">S17_Elevage!$A:$A</definedName>
    <definedName name="Z_EF790C5B_80DA_4544_9EB7_EFE0323B2298_.wvu.PrintTitles" localSheetId="51" hidden="1">S18_Peche!$1:$1</definedName>
    <definedName name="Z_EF790C5B_80DA_4544_9EB7_EFE0323B2298_.wvu.PrintTitles" localSheetId="13" hidden="1">S7b_Conso_Al!$1:$17</definedName>
    <definedName name="Z_EF790C5B_80DA_4544_9EB7_EFE0323B2298_.wvu.PrintTitles" localSheetId="16" hidden="1">S9a__Conso_NA!$1:$16</definedName>
    <definedName name="Z_EF790C5B_80DA_4544_9EB7_EFE0323B2298_.wvu.PrintTitles" localSheetId="32" hidden="1">S9e__Conso_NA!$1:$9</definedName>
    <definedName name="Z_EF790C5B_80DA_4544_9EB7_EFE0323B2298_.wvu.PrintTitles" localSheetId="33" hidden="1">S9f__Conso_NA!$1:$9</definedName>
    <definedName name="Z_EF790C5B_80DA_4544_9EB7_EFE0323B2298_.wvu.Rows" localSheetId="11" hidden="1">S06_Epargne!$16:$16</definedName>
    <definedName name="_xlnm.Print_Area" localSheetId="5">S02_Educ!$A$1:$CH$40</definedName>
    <definedName name="_xlnm.Print_Area" localSheetId="6">S03_Sante!$A$1:$CB$50</definedName>
    <definedName name="_xlnm.Print_Area" localSheetId="7">S04_Emploi_A!$A$1:$AS$44</definedName>
    <definedName name="_xlnm.Print_Area" localSheetId="8">S04_Emploi_B!$A$1:$BH$41</definedName>
    <definedName name="_xlnm.Print_Area" localSheetId="9">S04_Emploi_C!$A$1:$AI$40</definedName>
    <definedName name="_xlnm.Print_Area" localSheetId="10">S05_Revenus_Indiv!$A$1:$Q$29</definedName>
    <definedName name="_xlnm.Print_Area" localSheetId="11">S06_Epargne!$A$1:$AF$36</definedName>
    <definedName name="_xlnm.Print_Area" localSheetId="38">'S10_Entreprises1 '!$A$1:$Q$40</definedName>
    <definedName name="_xlnm.Print_Area" localSheetId="40">'S11_Logement '!$A$1:$AA$135</definedName>
    <definedName name="_xlnm.Print_Area" localSheetId="41">S12_Avoirs!$A$1:$AN$58</definedName>
    <definedName name="_xlnm.Print_Area" localSheetId="44">S14B_Chocs!$A$1:$N$39</definedName>
    <definedName name="_xlnm.Print_Area" localSheetId="45">S15_Filet!$A$1:$W$33</definedName>
    <definedName name="_xlnm.Print_Area" localSheetId="46">S16a_Agri!$A$1:$ET$34</definedName>
    <definedName name="_xlnm.Print_Area" localSheetId="47">S16b_Agri!$A$1:$N$39</definedName>
    <definedName name="_xlnm.Print_Area" localSheetId="48">S16c_Agri!$A$1:$U$33</definedName>
    <definedName name="_xlnm.Print_Area" localSheetId="49">S16d_Agri!$A$1:$AH$33</definedName>
    <definedName name="_xlnm.Print_Area" localSheetId="51">S18_Peche!$A$1:$AK$91</definedName>
    <definedName name="_xlnm.Print_Area" localSheetId="52">S19_Equipements!$A$1:$O$51</definedName>
    <definedName name="_xlnm.Print_Area" localSheetId="53">S20A_PauvreteSubjective!$A$1:$H$26</definedName>
    <definedName name="_xlnm.Print_Area" localSheetId="54">S20B_Gouvernance!$A$1:$CD$25</definedName>
    <definedName name="_xlnm.Print_Area" localSheetId="55">S20C_Insecurite!$A$1:$J$28</definedName>
    <definedName name="_xlnm.Print_Area" localSheetId="13">S7b_Conso_Al!$A$1:$L$209</definedName>
    <definedName name="_xlnm.Print_Area" localSheetId="14">S8A_SecAlimentaire_FIES!$A$1:$S$42</definedName>
    <definedName name="_xlnm.Print_Area" localSheetId="15">S8B_SecAlimentaire!$A$1:$M$23</definedName>
    <definedName name="_xlnm.Print_Area" localSheetId="16">S9a__Conso_NA!$A$1:$H$36</definedName>
    <definedName name="_xlnm.Print_Area" localSheetId="17">S9b__Conso_NA!$A$1:$D$29</definedName>
    <definedName name="_xlnm.Print_Area" localSheetId="18">S9c__Conso_NA!$A$1:$D$35</definedName>
    <definedName name="_xlnm.Print_Area" localSheetId="31">S9d___Conso_NA!$A$1:$D$33</definedName>
    <definedName name="_xlnm.Print_Area" localSheetId="32">S9e__Conso_NA!$A$1:$D$21</definedName>
    <definedName name="_xlnm.Print_Area" localSheetId="33">S9f__Conso_NA!$A$1:$D$66</definedName>
    <definedName name="_xlnm.Print_Area" localSheetId="2">TOC!$A$1:$K$29</definedName>
  </definedNames>
  <calcPr calcId="191028"/>
  <customWorkbookViews>
    <customWorkbookView name="Adama - Affichage personnalisé" guid="{9C153D9E-615C-443B-9CD7-551163282F03}" mergeInterval="0" personalView="1" maximized="1" xWindow="-8" yWindow="-8" windowWidth="1382" windowHeight="744" activeSheetId="2"/>
    <customWorkbookView name="Adama TIENDREBEOGO  - Affichage personnalisé" guid="{BE9F68F7-D81B-4526-9959-D871EC50BDFF}" mergeInterval="0" personalView="1" maximized="1" xWindow="-8" yWindow="-8" windowWidth="1382" windowHeight="744" activeSheetId="2"/>
    <customWorkbookView name="TOSHIBA - Modo de exibição pessoal" guid="{EF790C5B-80DA-4544-9EB7-EFE0323B2298}" mergeInterval="0" personalView="1" maximized="1" windowWidth="1362" windowHeight="542" activeSheetId="13"/>
    <customWorkbookView name="Vasco - Vista pessoal" guid="{C9D2DBB1-CD01-4732-8C86-64BE16C94753}" mergeInterval="0" personalView="1" maximized="1" windowWidth="1276" windowHeight="575" activeSheetId="1"/>
    <customWorkbookView name="Asus - Vista pessoal" guid="{BFEC163F-7C4E-49B7-9F32-15225772E72F}" mergeInterval="0" personalView="1" maximized="1" xWindow="1" yWindow="1" windowWidth="1362" windowHeight="538" activeSheetId="37"/>
    <customWorkbookView name="JPD Systems - Personal View" guid="{5529DB6B-163A-4048-9107-267B30B97DF3}" mergeInterval="0" personalView="1" maximized="1" xWindow="-8" yWindow="-8" windowWidth="1936" windowHeight="1056" activeSheetId="1"/>
    <customWorkbookView name="Djibril Ndoye - Personal View" guid="{9B0763AA-FA4B-479A-900C-C113E8BEEFEB}" mergeInterval="0" personalView="1" maximized="1" xWindow="-8" yWindow="-8" windowWidth="1616" windowHeight="876" activeSheetId="5"/>
    <customWorkbookView name="INE-OIT - Modo de exibição pessoal" guid="{89903799-8228-4A6D-8A81-7F80BC61226D}" mergeInterval="0" personalView="1" maximized="1" windowWidth="1276" windowHeight="543" activeSheetId="26"/>
    <customWorkbookView name="Bacar - Vista pessoal" guid="{2524630E-605A-4616-AD5D-6CF7B1E9752C}" mergeInterval="0" personalView="1" maximized="1" xWindow="-8" yWindow="-8" windowWidth="1382" windowHeight="744" activeSheetId="34"/>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D16" i="5" l="1"/>
  <c r="BA16" i="5"/>
  <c r="J34" i="70" l="1"/>
  <c r="K34" i="70" s="1"/>
  <c r="O34" i="70" s="1"/>
  <c r="P34" i="70" s="1"/>
  <c r="Q34" i="70" s="1"/>
  <c r="R34" i="70" s="1"/>
  <c r="S34" i="70" s="1"/>
  <c r="T34" i="70" s="1"/>
  <c r="U34" i="70" s="1"/>
  <c r="V34" i="70" s="1"/>
  <c r="Y34" i="70" s="1"/>
  <c r="Z34" i="70" s="1"/>
  <c r="AA34" i="70" s="1"/>
  <c r="AB34" i="70" s="1"/>
  <c r="AE34" i="70" s="1"/>
  <c r="AF34" i="70" s="1"/>
  <c r="AG34" i="70" s="1"/>
  <c r="E4" i="67" l="1"/>
  <c r="C4" i="67"/>
  <c r="BB5" i="8" l="1"/>
  <c r="BU16" i="6"/>
  <c r="BF14" i="4"/>
  <c r="BT4" i="5"/>
  <c r="AH4" i="5"/>
  <c r="AG4" i="5"/>
  <c r="Z4" i="5"/>
  <c r="Y4" i="5"/>
  <c r="J19" i="9" l="1"/>
  <c r="AA4" i="5" l="1"/>
  <c r="N5" i="32" l="1"/>
  <c r="G6" i="73" l="1"/>
  <c r="F6" i="73"/>
  <c r="E6" i="73"/>
  <c r="D6" i="73"/>
  <c r="C6" i="73"/>
  <c r="B6" i="73"/>
  <c r="A6" i="73"/>
  <c r="BX7" i="72"/>
  <c r="BV7" i="72"/>
  <c r="BU7" i="72"/>
  <c r="BR7" i="72"/>
  <c r="BQ7" i="72"/>
  <c r="BP7" i="72"/>
  <c r="BO7" i="72"/>
  <c r="BE7" i="72"/>
  <c r="AW7" i="72"/>
  <c r="AV7" i="72"/>
  <c r="AU7" i="72"/>
  <c r="AT7" i="72"/>
  <c r="AP7" i="72"/>
  <c r="AM7" i="72"/>
  <c r="AL7" i="72"/>
  <c r="AK7" i="72"/>
  <c r="Y7" i="72"/>
  <c r="U7" i="72"/>
  <c r="T7" i="72"/>
  <c r="B7" i="72"/>
  <c r="A7" i="72"/>
  <c r="A18" i="71"/>
  <c r="G7" i="71"/>
  <c r="F7" i="71"/>
  <c r="E7" i="71"/>
  <c r="D7" i="71"/>
  <c r="C7" i="71"/>
  <c r="B7" i="71"/>
  <c r="A7" i="71"/>
  <c r="B1" i="70"/>
  <c r="B4" i="70"/>
  <c r="C4" i="70"/>
  <c r="D4" i="70"/>
  <c r="G4" i="70"/>
  <c r="J4" i="70"/>
  <c r="K4" i="70"/>
  <c r="O4" i="70"/>
  <c r="P4" i="70"/>
  <c r="Q4" i="70"/>
  <c r="K4" i="32"/>
  <c r="R5" i="32"/>
  <c r="R4" i="32"/>
  <c r="O5" i="32" s="1"/>
  <c r="Q4" i="32"/>
  <c r="P4" i="32"/>
  <c r="O4" i="32"/>
  <c r="N4" i="32"/>
  <c r="M4" i="32"/>
  <c r="BT6" i="30"/>
  <c r="CK6" i="30"/>
  <c r="DB6" i="30"/>
  <c r="DO6" i="30"/>
  <c r="EB6" i="30"/>
  <c r="BC6" i="30"/>
  <c r="E11" i="69"/>
  <c r="O24" i="69"/>
  <c r="O25" i="69" s="1"/>
  <c r="O26" i="69" s="1"/>
  <c r="O27" i="69" s="1"/>
  <c r="O28" i="69" s="1"/>
  <c r="O29" i="69" s="1"/>
  <c r="O30" i="69" s="1"/>
  <c r="O31" i="69" s="1"/>
  <c r="A24" i="69"/>
  <c r="A25" i="69" s="1"/>
  <c r="A26" i="69" s="1"/>
  <c r="A27" i="69" s="1"/>
  <c r="A28" i="69" s="1"/>
  <c r="A29" i="69" s="1"/>
  <c r="A30" i="69" s="1"/>
  <c r="A31" i="69" s="1"/>
  <c r="C4" i="69"/>
  <c r="D4" i="69" s="1"/>
  <c r="E4" i="69" s="1"/>
  <c r="F4" i="69" s="1"/>
  <c r="D16" i="69" s="1"/>
  <c r="G4" i="69" l="1"/>
  <c r="H4" i="69" s="1"/>
  <c r="F16" i="69" l="1"/>
  <c r="M4" i="69"/>
  <c r="R4" i="70"/>
  <c r="I4" i="69"/>
  <c r="Q4" i="69" s="1"/>
  <c r="H16" i="69" s="1"/>
  <c r="S4" i="70" l="1"/>
  <c r="R4" i="69"/>
  <c r="T4" i="69" s="1"/>
  <c r="V4" i="69" s="1"/>
  <c r="W4" i="69" s="1"/>
  <c r="T4" i="70" l="1"/>
  <c r="R5" i="70" s="1"/>
  <c r="U4" i="70" l="1"/>
  <c r="J5" i="70" s="1"/>
  <c r="V4" i="70" l="1"/>
  <c r="Y4" i="70" l="1"/>
  <c r="Z4" i="70" l="1"/>
  <c r="AA4" i="70" l="1"/>
  <c r="AB4" i="70" l="1"/>
  <c r="Y5" i="70" l="1"/>
  <c r="AE5" i="70"/>
  <c r="Z5" i="70"/>
  <c r="AE4" i="70"/>
  <c r="AF4" i="70" l="1"/>
  <c r="AG4" i="70"/>
  <c r="AA5" i="70" l="1"/>
  <c r="U5" i="70"/>
  <c r="D4" i="67" l="1"/>
  <c r="A19" i="68" l="1"/>
  <c r="A20" i="68" s="1"/>
  <c r="A21" i="68" s="1"/>
  <c r="A22" i="68" s="1"/>
  <c r="A23" i="68" s="1"/>
  <c r="A24" i="68" s="1"/>
  <c r="A25" i="68" s="1"/>
  <c r="A26" i="68" s="1"/>
  <c r="A27" i="68" s="1"/>
  <c r="A28" i="68" s="1"/>
  <c r="A29" i="68" s="1"/>
  <c r="A30" i="68" s="1"/>
  <c r="A31" i="68" s="1"/>
  <c r="A32" i="68" s="1"/>
  <c r="A33" i="68" s="1"/>
  <c r="A34" i="68" s="1"/>
  <c r="A35" i="68" s="1"/>
  <c r="A36" i="68" s="1"/>
  <c r="A37" i="68" s="1"/>
  <c r="A38" i="68" s="1"/>
  <c r="A39" i="68" s="1"/>
  <c r="A8" i="67"/>
  <c r="A9" i="67" s="1"/>
  <c r="A10" i="67" s="1"/>
  <c r="A11" i="67" s="1"/>
  <c r="A12" i="67" s="1"/>
  <c r="A13" i="67" s="1"/>
  <c r="N10" i="66"/>
  <c r="N9" i="66"/>
  <c r="N8" i="66"/>
  <c r="N7" i="66"/>
  <c r="N6" i="66"/>
  <c r="N4" i="66"/>
  <c r="I11" i="66"/>
  <c r="A4" i="66" l="1"/>
  <c r="A5" i="66" l="1"/>
  <c r="N3" i="66" s="1"/>
  <c r="A6" i="66" l="1"/>
  <c r="A7" i="66" l="1"/>
  <c r="N5" i="66" l="1"/>
  <c r="A8" i="66"/>
  <c r="A9" i="66" l="1"/>
  <c r="A10" i="66" s="1"/>
  <c r="A12" i="66" s="1"/>
  <c r="B14" i="66" s="1"/>
  <c r="C14" i="66" s="1"/>
  <c r="D14" i="66" s="1"/>
  <c r="E14" i="66" s="1"/>
  <c r="F14" i="66" s="1"/>
  <c r="G14" i="66" s="1"/>
  <c r="H14" i="66" s="1"/>
  <c r="I14" i="66" s="1"/>
  <c r="J14" i="66" s="1"/>
  <c r="K14" i="66" s="1"/>
  <c r="CD23" i="5"/>
  <c r="BA23" i="5"/>
  <c r="I25" i="66" l="1"/>
  <c r="L14" i="66"/>
  <c r="M14" i="66" s="1"/>
  <c r="N14" i="66" s="1"/>
  <c r="Q14" i="66" s="1"/>
  <c r="B12" i="66"/>
  <c r="L29" i="4"/>
  <c r="A12" i="65" l="1"/>
  <c r="A16" i="65" s="1"/>
  <c r="A21" i="65" s="1"/>
  <c r="A31" i="65" l="1"/>
  <c r="A38" i="65" s="1"/>
  <c r="F27" i="65" s="1"/>
  <c r="A42" i="65" l="1"/>
  <c r="J5" i="65" s="1"/>
  <c r="J11" i="65" s="1"/>
  <c r="J17" i="65" s="1"/>
  <c r="A36" i="65" s="1"/>
  <c r="BH19" i="8"/>
  <c r="BH16" i="8"/>
  <c r="AX5" i="8"/>
  <c r="AX14" i="8"/>
  <c r="CA24" i="6"/>
  <c r="CA21" i="6"/>
  <c r="BW14" i="6"/>
  <c r="J22" i="65" l="1"/>
  <c r="J26" i="65" s="1"/>
  <c r="J32" i="65" s="1"/>
  <c r="E36" i="65" s="1"/>
  <c r="J40" i="65" l="1"/>
  <c r="M25" i="65" s="1"/>
  <c r="G12" i="4"/>
  <c r="I13" i="4"/>
  <c r="I12" i="4"/>
  <c r="E10" i="4"/>
  <c r="E4" i="4"/>
  <c r="L4" i="4"/>
  <c r="J4" i="4"/>
  <c r="I4" i="4"/>
  <c r="G4" i="4"/>
  <c r="F4" i="4"/>
  <c r="G11" i="3"/>
  <c r="N31" i="65" l="1"/>
  <c r="S5" i="65"/>
  <c r="S8" i="65" s="1"/>
  <c r="S14" i="65" s="1"/>
  <c r="X7" i="65" l="1"/>
  <c r="H36" i="65"/>
  <c r="S18" i="65"/>
  <c r="S25" i="65" s="1"/>
  <c r="S32" i="65" s="1"/>
  <c r="S38" i="65" s="1"/>
  <c r="S41" i="65" s="1"/>
  <c r="A47" i="65" s="1"/>
  <c r="A57" i="65" s="1"/>
  <c r="V43" i="65" s="1"/>
  <c r="N16" i="65"/>
  <c r="F45" i="65"/>
  <c r="W40" i="65" l="1"/>
  <c r="A61" i="65"/>
  <c r="A66" i="65" s="1"/>
  <c r="D60" i="65" s="1"/>
  <c r="J47" i="65" l="1"/>
  <c r="J50" i="65"/>
  <c r="J56" i="65" s="1"/>
  <c r="J64" i="65" s="1"/>
  <c r="J53" i="65" s="1"/>
  <c r="O8" i="4"/>
  <c r="J69" i="65" l="1"/>
  <c r="J76" i="65" s="1"/>
  <c r="J67" i="65" s="1"/>
  <c r="J81" i="65" l="1"/>
  <c r="S47" i="65" s="1"/>
  <c r="C14" i="13"/>
  <c r="M79" i="65" l="1"/>
  <c r="M78" i="65"/>
  <c r="S52" i="65"/>
  <c r="S57" i="65" s="1"/>
  <c r="S62" i="65" s="1"/>
  <c r="T50" i="65" s="1"/>
  <c r="P6" i="30"/>
  <c r="S70" i="65" l="1"/>
  <c r="C20" i="12"/>
  <c r="AB15" i="7"/>
  <c r="T51" i="65" l="1"/>
  <c r="X54" i="65"/>
  <c r="S79" i="65"/>
  <c r="S83" i="65" s="1"/>
  <c r="S87" i="65" s="1"/>
  <c r="A95" i="65" s="1"/>
  <c r="A101" i="65" s="1"/>
  <c r="M21" i="12"/>
  <c r="M19" i="12"/>
  <c r="F21" i="12"/>
  <c r="W82" i="65" l="1"/>
  <c r="U78" i="65"/>
  <c r="U76" i="65"/>
  <c r="U74" i="65"/>
  <c r="U77" i="65"/>
  <c r="U73" i="65"/>
  <c r="U75" i="65"/>
  <c r="U72" i="65"/>
  <c r="A105" i="65"/>
  <c r="A110" i="65" s="1"/>
  <c r="A120" i="65" s="1"/>
  <c r="D104" i="65" s="1"/>
  <c r="E107" i="65" l="1"/>
  <c r="A123" i="65"/>
  <c r="A128" i="65" s="1"/>
  <c r="J95" i="65" s="1"/>
  <c r="C125" i="65" s="1"/>
  <c r="A20" i="13"/>
  <c r="J101" i="65" l="1"/>
  <c r="C122" i="65" s="1"/>
  <c r="P20" i="12"/>
  <c r="M20" i="12"/>
  <c r="I20" i="12"/>
  <c r="J105" i="65" l="1"/>
  <c r="J110" i="65" s="1"/>
  <c r="J119" i="65" s="1"/>
  <c r="AK13" i="4"/>
  <c r="H5" i="32"/>
  <c r="F6" i="30"/>
  <c r="M12" i="30"/>
  <c r="M13" i="30"/>
  <c r="M14" i="30"/>
  <c r="M10" i="30"/>
  <c r="W6" i="30"/>
  <c r="AD6" i="30"/>
  <c r="EP6" i="30"/>
  <c r="AT6" i="30"/>
  <c r="M33" i="14"/>
  <c r="M32" i="14"/>
  <c r="M31" i="14"/>
  <c r="M17" i="14"/>
  <c r="M16" i="14"/>
  <c r="M15" i="14"/>
  <c r="S22" i="12"/>
  <c r="P22" i="12"/>
  <c r="M22" i="12"/>
  <c r="V20" i="12"/>
  <c r="S20" i="12"/>
  <c r="I22" i="12"/>
  <c r="F19" i="12"/>
  <c r="F20" i="12"/>
  <c r="F22" i="12"/>
  <c r="C22" i="12"/>
  <c r="AC15" i="9"/>
  <c r="F19" i="8"/>
  <c r="F17" i="8"/>
  <c r="F13" i="8"/>
  <c r="F12" i="8"/>
  <c r="J17" i="8"/>
  <c r="L108" i="65" l="1"/>
  <c r="M104" i="65"/>
  <c r="J129" i="65"/>
  <c r="S95" i="65" s="1"/>
  <c r="S103" i="65" s="1"/>
  <c r="S106" i="65" s="1"/>
  <c r="S109" i="65" s="1"/>
  <c r="F15" i="9"/>
  <c r="BC19" i="4"/>
  <c r="A5" i="35"/>
  <c r="A9" i="35" s="1"/>
  <c r="A12" i="35" s="1"/>
  <c r="A23" i="35" s="1"/>
  <c r="A28" i="35" s="1"/>
  <c r="B5" i="23"/>
  <c r="C5" i="23" s="1"/>
  <c r="D5" i="23" s="1"/>
  <c r="F5" i="23" s="1"/>
  <c r="H5" i="23" s="1"/>
  <c r="I5" i="23" s="1"/>
  <c r="K5" i="23" s="1"/>
  <c r="M5" i="23" s="1"/>
  <c r="N5" i="23" s="1"/>
  <c r="O5" i="23" s="1"/>
  <c r="Q5" i="23" s="1"/>
  <c r="N16" i="23" s="1"/>
  <c r="C4" i="7"/>
  <c r="H4" i="25"/>
  <c r="L4" i="25" s="1"/>
  <c r="P4" i="25" s="1"/>
  <c r="S4" i="25" s="1"/>
  <c r="Z4" i="25" s="1"/>
  <c r="P21" i="12"/>
  <c r="S21" i="12" s="1"/>
  <c r="V21" i="12" s="1"/>
  <c r="P19" i="12"/>
  <c r="S19" i="12" s="1"/>
  <c r="V19" i="12" s="1"/>
  <c r="A21" i="13"/>
  <c r="A22" i="13" s="1"/>
  <c r="A24" i="13" s="1"/>
  <c r="A25" i="13" s="1"/>
  <c r="A26" i="13" s="1"/>
  <c r="A27" i="13" s="1"/>
  <c r="C4" i="6"/>
  <c r="D4" i="6" s="1"/>
  <c r="F4" i="6" s="1"/>
  <c r="G4" i="6" s="1"/>
  <c r="I4" i="6" s="1"/>
  <c r="J4" i="6" s="1"/>
  <c r="L4" i="6" s="1"/>
  <c r="N4" i="6" s="1"/>
  <c r="O4" i="6" s="1"/>
  <c r="Q4" i="6" s="1"/>
  <c r="AB4" i="6" s="1"/>
  <c r="AD4" i="6" s="1"/>
  <c r="C3" i="5"/>
  <c r="F3" i="5" s="1"/>
  <c r="A11" i="22"/>
  <c r="F18" i="9"/>
  <c r="F14" i="9"/>
  <c r="F13" i="9"/>
  <c r="F11" i="9"/>
  <c r="F10" i="9"/>
  <c r="N2" i="11"/>
  <c r="O2" i="11" s="1"/>
  <c r="P2" i="11" s="1"/>
  <c r="N14" i="11" s="1"/>
  <c r="A11" i="21"/>
  <c r="A12" i="21" s="1"/>
  <c r="A13" i="21" s="1"/>
  <c r="A14" i="21" s="1"/>
  <c r="A15" i="21" s="1"/>
  <c r="A16" i="21" s="1"/>
  <c r="A17" i="21" s="1"/>
  <c r="A18" i="21" s="1"/>
  <c r="A19" i="21" s="1"/>
  <c r="A20" i="21" s="1"/>
  <c r="A21" i="21" s="1"/>
  <c r="A22" i="21" s="1"/>
  <c r="A23" i="21" s="1"/>
  <c r="A24" i="21" s="1"/>
  <c r="A25" i="21" s="1"/>
  <c r="A26" i="21" s="1"/>
  <c r="A27" i="21" s="1"/>
  <c r="A28" i="21" s="1"/>
  <c r="A29" i="21" s="1"/>
  <c r="A30" i="21" s="1"/>
  <c r="A31" i="21" s="1"/>
  <c r="A32" i="21" s="1"/>
  <c r="A33" i="21" s="1"/>
  <c r="A34" i="21" s="1"/>
  <c r="A35" i="21" s="1"/>
  <c r="A36" i="21" s="1"/>
  <c r="A37" i="21" s="1"/>
  <c r="A38" i="21" s="1"/>
  <c r="A39" i="21" s="1"/>
  <c r="A40" i="21" s="1"/>
  <c r="A41" i="21" s="1"/>
  <c r="A42" i="21" s="1"/>
  <c r="A43" i="21" s="1"/>
  <c r="A44" i="21" s="1"/>
  <c r="A45" i="21" s="1"/>
  <c r="A46" i="21" s="1"/>
  <c r="A47" i="21" s="1"/>
  <c r="A48" i="21" s="1"/>
  <c r="A49" i="21" s="1"/>
  <c r="A50" i="21" s="1"/>
  <c r="A51" i="21" s="1"/>
  <c r="A52" i="21" s="1"/>
  <c r="A53" i="21" s="1"/>
  <c r="A54" i="21" s="1"/>
  <c r="A55" i="21" s="1"/>
  <c r="A56" i="21" s="1"/>
  <c r="A57" i="21" s="1"/>
  <c r="A58" i="21" s="1"/>
  <c r="A59" i="21" s="1"/>
  <c r="A60" i="21" s="1"/>
  <c r="A61" i="21" s="1"/>
  <c r="A62" i="21" s="1"/>
  <c r="A63" i="21" s="1"/>
  <c r="A64" i="21" s="1"/>
  <c r="A65" i="21" s="1"/>
  <c r="A66" i="21" s="1"/>
  <c r="A11" i="20"/>
  <c r="A12" i="20" s="1"/>
  <c r="A13" i="20" s="1"/>
  <c r="A14" i="20" s="1"/>
  <c r="A15" i="20" s="1"/>
  <c r="A16" i="20" s="1"/>
  <c r="A17" i="20" s="1"/>
  <c r="A18" i="20" s="1"/>
  <c r="A19" i="20" s="1"/>
  <c r="A20" i="20" s="1"/>
  <c r="A21" i="20" s="1"/>
  <c r="C6" i="34"/>
  <c r="D6" i="34" s="1"/>
  <c r="B6" i="33"/>
  <c r="C6" i="33" s="1"/>
  <c r="D6" i="33" s="1"/>
  <c r="E6" i="33" s="1"/>
  <c r="F6" i="33" s="1"/>
  <c r="G6" i="33" s="1"/>
  <c r="V6" i="33" s="1"/>
  <c r="W6" i="33" s="1"/>
  <c r="X6" i="33" s="1"/>
  <c r="Y6" i="33" s="1"/>
  <c r="Z6" i="33" s="1"/>
  <c r="AA6" i="33" s="1"/>
  <c r="AB6" i="33" s="1"/>
  <c r="AC6" i="33" s="1"/>
  <c r="AE6" i="33" s="1"/>
  <c r="AF6" i="33" s="1"/>
  <c r="AG6" i="33" s="1"/>
  <c r="AP6" i="33" s="1"/>
  <c r="AQ6" i="33" s="1"/>
  <c r="AR6" i="33" s="1"/>
  <c r="AS6" i="33" s="1"/>
  <c r="AU6" i="33" s="1"/>
  <c r="AV6" i="33" s="1"/>
  <c r="AX6" i="33" s="1"/>
  <c r="AY6" i="33" s="1"/>
  <c r="AZ6" i="33" s="1"/>
  <c r="BB6" i="33" s="1"/>
  <c r="BC6" i="33" s="1"/>
  <c r="BD6" i="33" s="1"/>
  <c r="BE6" i="33" s="1"/>
  <c r="BG6" i="33" s="1"/>
  <c r="BI6" i="33" s="1"/>
  <c r="BJ6" i="33" s="1"/>
  <c r="BM6" i="33" s="1"/>
  <c r="BN6" i="33" s="1"/>
  <c r="BP6" i="33" s="1"/>
  <c r="BQ6" i="33" s="1"/>
  <c r="BS6" i="33" s="1"/>
  <c r="BT6" i="33" s="1"/>
  <c r="BU6" i="33" s="1"/>
  <c r="BW6" i="33" s="1"/>
  <c r="BX6" i="33" s="1"/>
  <c r="BY6" i="33" s="1"/>
  <c r="BZ6" i="33" s="1"/>
  <c r="CA6" i="33" s="1"/>
  <c r="CB6" i="33" s="1"/>
  <c r="CD6" i="33" s="1"/>
  <c r="CE6" i="33" s="1"/>
  <c r="BW7" i="33" s="1"/>
  <c r="A20" i="31"/>
  <c r="A21" i="31" s="1"/>
  <c r="A22" i="31" s="1"/>
  <c r="A23" i="31" s="1"/>
  <c r="A24" i="31" s="1"/>
  <c r="A25" i="31" s="1"/>
  <c r="A26" i="31" s="1"/>
  <c r="A27" i="31" s="1"/>
  <c r="A28" i="31" s="1"/>
  <c r="A29" i="31" s="1"/>
  <c r="A30" i="31" s="1"/>
  <c r="A31" i="31" s="1"/>
  <c r="A32" i="31" s="1"/>
  <c r="A33" i="31" s="1"/>
  <c r="A34" i="31" s="1"/>
  <c r="A35" i="31" s="1"/>
  <c r="A36" i="31" s="1"/>
  <c r="A37" i="31" s="1"/>
  <c r="A38" i="31" s="1"/>
  <c r="A39" i="31" s="1"/>
  <c r="A13" i="19"/>
  <c r="A14" i="19" s="1"/>
  <c r="A15" i="19" s="1"/>
  <c r="A16" i="19" s="1"/>
  <c r="A17" i="19" s="1"/>
  <c r="A18" i="19" s="1"/>
  <c r="A19" i="19" s="1"/>
  <c r="A20" i="19" s="1"/>
  <c r="A21" i="19" s="1"/>
  <c r="A22" i="19" s="1"/>
  <c r="A23" i="19" s="1"/>
  <c r="A24" i="19" s="1"/>
  <c r="A25" i="19" s="1"/>
  <c r="A26" i="19" s="1"/>
  <c r="A27" i="19" s="1"/>
  <c r="A28" i="19" s="1"/>
  <c r="A29" i="19" s="1"/>
  <c r="A30" i="19" s="1"/>
  <c r="A31" i="19" s="1"/>
  <c r="A32" i="19" s="1"/>
  <c r="A13" i="18"/>
  <c r="A14" i="18" s="1"/>
  <c r="A15" i="18" s="1"/>
  <c r="A16" i="18" s="1"/>
  <c r="A17" i="18" s="1"/>
  <c r="A18" i="18" s="1"/>
  <c r="A19" i="18" s="1"/>
  <c r="A20" i="18" s="1"/>
  <c r="A21" i="18" s="1"/>
  <c r="A22" i="18" s="1"/>
  <c r="A23" i="18" s="1"/>
  <c r="A24" i="18" s="1"/>
  <c r="A25" i="18" s="1"/>
  <c r="A26" i="18" s="1"/>
  <c r="A27" i="18" s="1"/>
  <c r="A28" i="18" s="1"/>
  <c r="A29" i="18" s="1"/>
  <c r="A30" i="18" s="1"/>
  <c r="A31" i="18" s="1"/>
  <c r="A32" i="18" s="1"/>
  <c r="A33" i="18" s="1"/>
  <c r="A34" i="18" s="1"/>
  <c r="A35" i="18" s="1"/>
  <c r="A14" i="17"/>
  <c r="A15" i="17" s="1"/>
  <c r="A16" i="17" s="1"/>
  <c r="A17" i="17" s="1"/>
  <c r="A18" i="17" s="1"/>
  <c r="A19" i="17" s="1"/>
  <c r="A20" i="17" s="1"/>
  <c r="A21" i="17" s="1"/>
  <c r="A22" i="17" s="1"/>
  <c r="A23" i="17" s="1"/>
  <c r="A24" i="17" s="1"/>
  <c r="A25" i="17" s="1"/>
  <c r="A26" i="17" s="1"/>
  <c r="A27" i="17" s="1"/>
  <c r="A28" i="17" s="1"/>
  <c r="A29" i="17" s="1"/>
  <c r="A15" i="25"/>
  <c r="A16" i="25" s="1"/>
  <c r="A17" i="25" s="1"/>
  <c r="A18" i="25" s="1"/>
  <c r="A19" i="25" s="1"/>
  <c r="A20" i="25" s="1"/>
  <c r="A21" i="25" s="1"/>
  <c r="A22" i="25" s="1"/>
  <c r="A23" i="25" s="1"/>
  <c r="A24" i="25" s="1"/>
  <c r="A25" i="25" s="1"/>
  <c r="A26" i="25" s="1"/>
  <c r="A27" i="25" s="1"/>
  <c r="A28" i="25" s="1"/>
  <c r="A29" i="25" s="1"/>
  <c r="A30" i="25" s="1"/>
  <c r="A31" i="25" s="1"/>
  <c r="A32" i="25" s="1"/>
  <c r="A33" i="25" s="1"/>
  <c r="A34" i="25" s="1"/>
  <c r="A35" i="25" s="1"/>
  <c r="A36" i="25" s="1"/>
  <c r="A37" i="25" s="1"/>
  <c r="A38" i="25" s="1"/>
  <c r="A39" i="25" s="1"/>
  <c r="A40" i="25" s="1"/>
  <c r="A41" i="25" s="1"/>
  <c r="A42" i="25" s="1"/>
  <c r="A43" i="25" s="1"/>
  <c r="A44" i="25" s="1"/>
  <c r="A45" i="25" s="1"/>
  <c r="A46" i="25" s="1"/>
  <c r="A47" i="25" s="1"/>
  <c r="A48" i="25" s="1"/>
  <c r="A49" i="25" s="1"/>
  <c r="A50" i="25" s="1"/>
  <c r="A51" i="25" s="1"/>
  <c r="A52" i="25" s="1"/>
  <c r="A53" i="25" s="1"/>
  <c r="A54" i="25" s="1"/>
  <c r="A55" i="25" s="1"/>
  <c r="A56" i="25" s="1"/>
  <c r="A57" i="25" s="1"/>
  <c r="A58" i="25" s="1"/>
  <c r="C4" i="10"/>
  <c r="D4" i="10" s="1"/>
  <c r="E4" i="10" s="1"/>
  <c r="V4" i="4"/>
  <c r="W4" i="4" s="1"/>
  <c r="X4" i="4" s="1"/>
  <c r="AB4" i="4" s="1"/>
  <c r="AD4" i="4" s="1"/>
  <c r="AE4" i="4" s="1"/>
  <c r="AF4" i="4" s="1"/>
  <c r="AG4" i="4" s="1"/>
  <c r="AH4" i="4" s="1"/>
  <c r="AI4" i="4" s="1"/>
  <c r="AJ4" i="4" s="1"/>
  <c r="E6" i="34" l="1"/>
  <c r="F6" i="34" s="1"/>
  <c r="I6" i="34" s="1"/>
  <c r="A33" i="35"/>
  <c r="U5" i="35" s="1"/>
  <c r="U17" i="35" s="1"/>
  <c r="U22" i="35" s="1"/>
  <c r="U27" i="35" s="1"/>
  <c r="S115" i="65"/>
  <c r="S120" i="65" s="1"/>
  <c r="X105" i="65"/>
  <c r="D4" i="7"/>
  <c r="E4" i="7"/>
  <c r="F4" i="7"/>
  <c r="G4" i="7" s="1"/>
  <c r="H4" i="7" s="1"/>
  <c r="L3" i="5"/>
  <c r="N3" i="5" s="1"/>
  <c r="I3" i="5"/>
  <c r="A28" i="13"/>
  <c r="A29" i="13" s="1"/>
  <c r="A30" i="13" s="1"/>
  <c r="A31" i="13" s="1"/>
  <c r="A32" i="13" s="1"/>
  <c r="A33" i="13" s="1"/>
  <c r="A34" i="13" s="1"/>
  <c r="A35" i="13" s="1"/>
  <c r="A36" i="13" s="1"/>
  <c r="Q2" i="11"/>
  <c r="R2" i="11" s="1"/>
  <c r="O20" i="11" s="1"/>
  <c r="A14" i="22"/>
  <c r="A17" i="22" s="1"/>
  <c r="A20" i="22" s="1"/>
  <c r="A23" i="22" s="1"/>
  <c r="A26" i="22" s="1"/>
  <c r="A29" i="22" s="1"/>
  <c r="A32" i="22" s="1"/>
  <c r="A35" i="22" s="1"/>
  <c r="B38" i="22" s="1"/>
  <c r="C28" i="6"/>
  <c r="AE4" i="6"/>
  <c r="AC18" i="6" s="1"/>
  <c r="J29" i="6"/>
  <c r="AD4" i="25"/>
  <c r="AG4" i="25" s="1"/>
  <c r="AK4" i="25" s="1"/>
  <c r="P12" i="25"/>
  <c r="C23" i="10"/>
  <c r="F4" i="10"/>
  <c r="G4" i="10" s="1"/>
  <c r="S5" i="23"/>
  <c r="T5" i="23" s="1"/>
  <c r="U5" i="23" s="1"/>
  <c r="S15" i="23" s="1"/>
  <c r="AK4" i="4"/>
  <c r="AM4" i="4" s="1"/>
  <c r="AH26" i="4"/>
  <c r="CF6" i="33"/>
  <c r="CG6" i="33" s="1"/>
  <c r="CH6" i="33" s="1"/>
  <c r="CI6" i="33" s="1"/>
  <c r="CJ6" i="33" s="1"/>
  <c r="CK6" i="33" s="1"/>
  <c r="CL6" i="33" s="1"/>
  <c r="CM6" i="33" s="1"/>
  <c r="CN6" i="33" s="1"/>
  <c r="CO6" i="33" s="1"/>
  <c r="CP6" i="33" s="1"/>
  <c r="CQ6" i="33" s="1"/>
  <c r="E7" i="34" l="1"/>
  <c r="J6" i="34"/>
  <c r="K6" i="34" s="1"/>
  <c r="L6" i="34" s="1"/>
  <c r="M6" i="34" s="1"/>
  <c r="N6" i="34" s="1"/>
  <c r="O6" i="34" s="1"/>
  <c r="I4" i="7"/>
  <c r="J4" i="7"/>
  <c r="U30" i="35"/>
  <c r="U33" i="35" s="1"/>
  <c r="U37" i="35" s="1"/>
  <c r="B44" i="35" s="1"/>
  <c r="Y13" i="35"/>
  <c r="T110" i="65"/>
  <c r="X110" i="65"/>
  <c r="AA100" i="65"/>
  <c r="AA99" i="65"/>
  <c r="S126" i="65"/>
  <c r="K4" i="7"/>
  <c r="L4" i="7" s="1"/>
  <c r="M4" i="7" s="1"/>
  <c r="N4" i="7" s="1"/>
  <c r="P4" i="7" s="1"/>
  <c r="Q4" i="7" s="1"/>
  <c r="S3" i="5"/>
  <c r="R3" i="5"/>
  <c r="A37" i="13"/>
  <c r="A38" i="13" s="1"/>
  <c r="A39" i="13" s="1"/>
  <c r="A40" i="13" s="1"/>
  <c r="A38" i="22"/>
  <c r="V5" i="23"/>
  <c r="W5" i="23" s="1"/>
  <c r="Q21" i="23" s="1"/>
  <c r="S2" i="11"/>
  <c r="T2" i="11" s="1"/>
  <c r="V2" i="11" s="1"/>
  <c r="AN4" i="4"/>
  <c r="AO4" i="4" s="1"/>
  <c r="AP4" i="4" s="1"/>
  <c r="AJ14" i="4"/>
  <c r="H4" i="10"/>
  <c r="I4" i="10" s="1"/>
  <c r="E23" i="10"/>
  <c r="AF4" i="6"/>
  <c r="AG4" i="6" s="1"/>
  <c r="AH4" i="6" s="1"/>
  <c r="AI4" i="6" s="1"/>
  <c r="R4" i="7" l="1"/>
  <c r="P23" i="7" s="1"/>
  <c r="AQ5" i="7"/>
  <c r="A42" i="13"/>
  <c r="A45" i="13" s="1"/>
  <c r="A46" i="13" s="1"/>
  <c r="A47" i="13" s="1"/>
  <c r="A48" i="13" s="1"/>
  <c r="A50" i="13" s="1"/>
  <c r="A51" i="13" s="1"/>
  <c r="A52" i="13" s="1"/>
  <c r="A53" i="13" s="1"/>
  <c r="A54" i="13" s="1"/>
  <c r="A56" i="13" s="1"/>
  <c r="A57" i="13" s="1"/>
  <c r="A59" i="13" s="1"/>
  <c r="A60" i="13" s="1"/>
  <c r="A61" i="13" s="1"/>
  <c r="A62" i="13" s="1"/>
  <c r="A63" i="13" s="1"/>
  <c r="A64" i="13" s="1"/>
  <c r="A66" i="13" s="1"/>
  <c r="A67" i="13" s="1"/>
  <c r="A68" i="13" s="1"/>
  <c r="A69" i="13" s="1"/>
  <c r="Y25" i="35"/>
  <c r="G44" i="35"/>
  <c r="O44" i="35" s="1"/>
  <c r="J136" i="65"/>
  <c r="A136" i="65"/>
  <c r="S136" i="65"/>
  <c r="Q19" i="23"/>
  <c r="Q22" i="23"/>
  <c r="S4" i="7"/>
  <c r="T4" i="7" s="1"/>
  <c r="R22" i="7" s="1"/>
  <c r="AN4" i="6"/>
  <c r="AJ4" i="6"/>
  <c r="AL4" i="6"/>
  <c r="AK4" i="6"/>
  <c r="T3" i="5"/>
  <c r="U3" i="5" s="1"/>
  <c r="N4" i="5"/>
  <c r="AQ4" i="4"/>
  <c r="AR4" i="4" s="1"/>
  <c r="AS4" i="4" s="1"/>
  <c r="X5" i="23"/>
  <c r="Y5" i="23" s="1"/>
  <c r="Z5" i="23" s="1"/>
  <c r="AA5" i="23" s="1"/>
  <c r="AB5" i="23" s="1"/>
  <c r="AC5" i="23" s="1"/>
  <c r="AE5" i="23" s="1"/>
  <c r="AF5" i="23" s="1"/>
  <c r="AG5" i="23" s="1"/>
  <c r="Q15" i="23"/>
  <c r="Q20" i="23"/>
  <c r="Q13" i="23"/>
  <c r="Q17" i="23"/>
  <c r="Q18" i="23"/>
  <c r="P13" i="11"/>
  <c r="W2" i="11"/>
  <c r="X2" i="11" s="1"/>
  <c r="Y2" i="11" s="1"/>
  <c r="AA2" i="11" s="1"/>
  <c r="AB2" i="11" s="1"/>
  <c r="AC2" i="11" s="1"/>
  <c r="AD2" i="11" s="1"/>
  <c r="AE2" i="11" s="1"/>
  <c r="AF2" i="11" s="1"/>
  <c r="AB15" i="11" s="1"/>
  <c r="J4" i="10"/>
  <c r="L4" i="10" s="1"/>
  <c r="G23" i="10"/>
  <c r="AK14" i="4"/>
  <c r="B61" i="35" l="1"/>
  <c r="H61" i="35" s="1"/>
  <c r="A70" i="13"/>
  <c r="A71" i="13" s="1"/>
  <c r="A73" i="13" s="1"/>
  <c r="A74" i="13" s="1"/>
  <c r="A75" i="13" s="1"/>
  <c r="A76" i="13" s="1"/>
  <c r="A78" i="13" s="1"/>
  <c r="A79" i="13" s="1"/>
  <c r="U4" i="7"/>
  <c r="S23" i="7" s="1"/>
  <c r="L16" i="5"/>
  <c r="W3" i="5"/>
  <c r="X3" i="5" s="1"/>
  <c r="Y3" i="5" s="1"/>
  <c r="AE19" i="23"/>
  <c r="AH5" i="23"/>
  <c r="AI5" i="23" s="1"/>
  <c r="AG19" i="23" s="1"/>
  <c r="AQ14" i="4"/>
  <c r="AT4" i="4"/>
  <c r="AU4" i="4" s="1"/>
  <c r="AV4" i="4" s="1"/>
  <c r="AW4" i="4" s="1"/>
  <c r="AY4" i="4" s="1"/>
  <c r="M4" i="10"/>
  <c r="N4" i="10" s="1"/>
  <c r="I23" i="10"/>
  <c r="P61" i="35" l="1"/>
  <c r="C68" i="35" s="1"/>
  <c r="I68" i="35" s="1"/>
  <c r="O68" i="35" s="1"/>
  <c r="C84" i="35" s="1"/>
  <c r="H84" i="35" s="1"/>
  <c r="V61" i="35"/>
  <c r="A81" i="13"/>
  <c r="A83" i="13" s="1"/>
  <c r="A84" i="13" s="1"/>
  <c r="A85" i="13" s="1"/>
  <c r="A86" i="13" s="1"/>
  <c r="A87" i="13" s="1"/>
  <c r="A88" i="13" s="1"/>
  <c r="A89" i="13" s="1"/>
  <c r="A90" i="13" s="1"/>
  <c r="V4" i="7"/>
  <c r="W4" i="7" s="1"/>
  <c r="AB4" i="7" s="1"/>
  <c r="AP3" i="5"/>
  <c r="Y16" i="5" s="1"/>
  <c r="AH3" i="5"/>
  <c r="AG3" i="5"/>
  <c r="Z16" i="5" s="1"/>
  <c r="AA3" i="5"/>
  <c r="Z3" i="5"/>
  <c r="AO4" i="6"/>
  <c r="AP4" i="6" s="1"/>
  <c r="AQ4" i="6" s="1"/>
  <c r="AR4" i="6" s="1"/>
  <c r="AS4" i="6" s="1"/>
  <c r="AD32" i="6"/>
  <c r="AJ5" i="23"/>
  <c r="AK5" i="23" s="1"/>
  <c r="AI19" i="23" s="1"/>
  <c r="AU11" i="4"/>
  <c r="AZ4" i="4"/>
  <c r="BA4" i="4" s="1"/>
  <c r="AY14" i="4" s="1"/>
  <c r="AR19" i="4"/>
  <c r="L23" i="10"/>
  <c r="O4" i="10"/>
  <c r="P4" i="10" s="1"/>
  <c r="O84" i="35" l="1"/>
  <c r="U84" i="35"/>
  <c r="A92" i="13"/>
  <c r="A93" i="13" s="1"/>
  <c r="A94" i="13" s="1"/>
  <c r="A95" i="13" s="1"/>
  <c r="X9" i="7"/>
  <c r="AC4" i="7"/>
  <c r="AL5" i="23"/>
  <c r="AM5" i="23" s="1"/>
  <c r="AK19" i="23" s="1"/>
  <c r="Z4" i="7"/>
  <c r="Y4" i="7"/>
  <c r="X4" i="7"/>
  <c r="AV4" i="6"/>
  <c r="AT14" i="6" s="1"/>
  <c r="AU4" i="6"/>
  <c r="AT4" i="6"/>
  <c r="AQ3" i="5"/>
  <c r="AR3" i="5" s="1"/>
  <c r="AG16" i="5"/>
  <c r="AW4" i="6"/>
  <c r="AX4" i="6" s="1"/>
  <c r="BB4" i="4"/>
  <c r="BC4" i="4" s="1"/>
  <c r="BD4" i="4" s="1"/>
  <c r="BE4" i="4" s="1"/>
  <c r="BF4" i="4" s="1"/>
  <c r="BG4" i="4" s="1"/>
  <c r="BH4" i="4" s="1"/>
  <c r="N23" i="10"/>
  <c r="Q4" i="10"/>
  <c r="A96" i="13" l="1"/>
  <c r="A97" i="13" s="1"/>
  <c r="A98" i="13" s="1"/>
  <c r="A99" i="13" s="1"/>
  <c r="A101" i="13" s="1"/>
  <c r="A102" i="13" s="1"/>
  <c r="A104" i="13" s="1"/>
  <c r="A105" i="13" s="1"/>
  <c r="A106" i="13" s="1"/>
  <c r="A107" i="13" s="1"/>
  <c r="A108" i="13" s="1"/>
  <c r="A109" i="13" s="1"/>
  <c r="A110" i="13" s="1"/>
  <c r="A111" i="13" s="1"/>
  <c r="A112" i="13" s="1"/>
  <c r="A113" i="13" s="1"/>
  <c r="A114" i="13" s="1"/>
  <c r="A115" i="13" s="1"/>
  <c r="A116" i="13" s="1"/>
  <c r="V21" i="7"/>
  <c r="AD4" i="7"/>
  <c r="AE4" i="7" s="1"/>
  <c r="AF4" i="7" s="1"/>
  <c r="AN5" i="23"/>
  <c r="AP5" i="23" s="1"/>
  <c r="BJ5" i="23" s="1"/>
  <c r="BK5" i="23" s="1"/>
  <c r="BL5" i="23" s="1"/>
  <c r="BM5" i="23" s="1"/>
  <c r="BO5" i="23" s="1"/>
  <c r="BP5" i="23" s="1"/>
  <c r="BQ5" i="23" s="1"/>
  <c r="BR5" i="23" s="1"/>
  <c r="BS5" i="23" s="1"/>
  <c r="BT5" i="23" s="1"/>
  <c r="BU5" i="23" s="1"/>
  <c r="AN31" i="6"/>
  <c r="AP14" i="5"/>
  <c r="AU3" i="5"/>
  <c r="AT3" i="5"/>
  <c r="AV3" i="5"/>
  <c r="AP15" i="5"/>
  <c r="AP10" i="5"/>
  <c r="AP12" i="5"/>
  <c r="AW3" i="5"/>
  <c r="W17" i="5"/>
  <c r="AY4" i="6"/>
  <c r="BC11" i="4"/>
  <c r="AZ18" i="4"/>
  <c r="A117" i="13" l="1"/>
  <c r="A119" i="13" s="1"/>
  <c r="A120" i="13" s="1"/>
  <c r="A121" i="13" s="1"/>
  <c r="A123" i="13" s="1"/>
  <c r="A124" i="13" s="1"/>
  <c r="A125" i="13" s="1"/>
  <c r="A126" i="13" s="1"/>
  <c r="A127" i="13" s="1"/>
  <c r="A128" i="13" s="1"/>
  <c r="A129" i="13" s="1"/>
  <c r="A130" i="13" s="1"/>
  <c r="A131" i="13" s="1"/>
  <c r="A132" i="13" s="1"/>
  <c r="A133" i="13" s="1"/>
  <c r="A134" i="13" s="1"/>
  <c r="A135" i="13" s="1"/>
  <c r="A137" i="13" s="1"/>
  <c r="A138" i="13" s="1"/>
  <c r="A139" i="13" s="1"/>
  <c r="A140" i="13" s="1"/>
  <c r="A141" i="13" s="1"/>
  <c r="A142" i="13" s="1"/>
  <c r="A143" i="13" s="1"/>
  <c r="A144" i="13" s="1"/>
  <c r="A146" i="13" s="1"/>
  <c r="A147" i="13" s="1"/>
  <c r="A148" i="13" s="1"/>
  <c r="A149" i="13" s="1"/>
  <c r="A150" i="13" s="1"/>
  <c r="A151" i="13" s="1"/>
  <c r="A152" i="13" s="1"/>
  <c r="A153" i="13" s="1"/>
  <c r="A154" i="13" s="1"/>
  <c r="A155" i="13" s="1"/>
  <c r="A156" i="13" s="1"/>
  <c r="A157" i="13" s="1"/>
  <c r="A158" i="13" s="1"/>
  <c r="A159" i="13" s="1"/>
  <c r="A160" i="13" s="1"/>
  <c r="A161" i="13" s="1"/>
  <c r="A162" i="13" s="1"/>
  <c r="A163" i="13" s="1"/>
  <c r="A164" i="13" s="1"/>
  <c r="A165" i="13" s="1"/>
  <c r="A166" i="13" s="1"/>
  <c r="A167" i="13" s="1"/>
  <c r="A169" i="13" s="1"/>
  <c r="A170" i="13" s="1"/>
  <c r="A171" i="13" s="1"/>
  <c r="A173" i="13" s="1"/>
  <c r="A174" i="13" s="1"/>
  <c r="A175" i="13" s="1"/>
  <c r="A176" i="13" s="1"/>
  <c r="A177" i="13" s="1"/>
  <c r="AH4" i="7"/>
  <c r="AO4" i="7" s="1"/>
  <c r="AP4" i="7" s="1"/>
  <c r="AQ4" i="7" s="1"/>
  <c r="AB17" i="7" s="1"/>
  <c r="AG4" i="7"/>
  <c r="BA3" i="5"/>
  <c r="BV5" i="23"/>
  <c r="AT17" i="5"/>
  <c r="AZ4" i="6"/>
  <c r="BA4" i="6" s="1"/>
  <c r="AV31" i="6"/>
  <c r="BB4" i="6"/>
  <c r="BI4" i="4"/>
  <c r="BG15" i="4" s="1"/>
  <c r="BD4" i="6" l="1"/>
  <c r="BC4" i="6"/>
  <c r="AO13" i="7"/>
  <c r="AR4" i="7"/>
  <c r="B4" i="8" s="1"/>
  <c r="AO15" i="7"/>
  <c r="BX5" i="23"/>
  <c r="BW5" i="23"/>
  <c r="BY5" i="23"/>
  <c r="A179" i="13"/>
  <c r="A180" i="13" s="1"/>
  <c r="A181" i="13" s="1"/>
  <c r="A182" i="13" s="1"/>
  <c r="A183" i="13" s="1"/>
  <c r="A184" i="13" s="1"/>
  <c r="A185" i="13" s="1"/>
  <c r="A186" i="13" s="1"/>
  <c r="A187" i="13" s="1"/>
  <c r="A188" i="13" s="1"/>
  <c r="A189" i="13" s="1"/>
  <c r="A190" i="13" s="1"/>
  <c r="A191" i="13" s="1"/>
  <c r="A193" i="13" s="1"/>
  <c r="A194" i="13" s="1"/>
  <c r="A195" i="13" s="1"/>
  <c r="A197" i="13" s="1"/>
  <c r="A198" i="13" s="1"/>
  <c r="A199" i="13" s="1"/>
  <c r="A201" i="13" s="1"/>
  <c r="A202" i="13" s="1"/>
  <c r="A203" i="13" s="1"/>
  <c r="A205" i="13" s="1"/>
  <c r="A206" i="13" s="1"/>
  <c r="A207" i="13" s="1"/>
  <c r="A208" i="13" s="1"/>
  <c r="A209" i="13" s="1"/>
  <c r="AR16" i="5"/>
  <c r="BB3" i="5"/>
  <c r="BC3" i="5" s="1"/>
  <c r="BE4" i="6"/>
  <c r="BC19" i="6" s="1"/>
  <c r="BA14" i="5" l="1"/>
  <c r="BA13" i="5"/>
  <c r="BA12" i="5"/>
  <c r="D4" i="8"/>
  <c r="F4" i="8" s="1"/>
  <c r="G4" i="8" s="1"/>
  <c r="H4" i="8" s="1"/>
  <c r="I4" i="8" s="1"/>
  <c r="J4" i="8" s="1"/>
  <c r="AR26" i="7"/>
  <c r="T20" i="7"/>
  <c r="N22" i="7"/>
  <c r="BZ5" i="23"/>
  <c r="CB5" i="23" s="1"/>
  <c r="CC5" i="23" s="1"/>
  <c r="BW22" i="23"/>
  <c r="BZ16" i="23"/>
  <c r="CT5" i="23"/>
  <c r="AY29" i="6"/>
  <c r="BE3" i="5"/>
  <c r="BF3" i="5" s="1"/>
  <c r="BF4" i="6"/>
  <c r="BG4" i="6" s="1"/>
  <c r="BH4" i="6" s="1"/>
  <c r="BJ4" i="6" s="1"/>
  <c r="BE25" i="6" s="1"/>
  <c r="DK5" i="23" l="1"/>
  <c r="DJ5" i="23"/>
  <c r="H17" i="8"/>
  <c r="K4" i="8"/>
  <c r="L4" i="8" s="1"/>
  <c r="N4" i="8" s="1"/>
  <c r="O4" i="8" s="1"/>
  <c r="BO3" i="5"/>
  <c r="BS3" i="5"/>
  <c r="BT3" i="5" s="1"/>
  <c r="BU3" i="5" s="1"/>
  <c r="BV3" i="5" s="1"/>
  <c r="BK4" i="6"/>
  <c r="BL4" i="6" s="1"/>
  <c r="BJ26" i="6" s="1"/>
  <c r="R4" i="8" l="1"/>
  <c r="Q4" i="8"/>
  <c r="P4" i="8"/>
  <c r="BW3" i="5"/>
  <c r="BX3" i="5" s="1"/>
  <c r="BZ3" i="5" s="1"/>
  <c r="CA3" i="5" s="1"/>
  <c r="CB3" i="5" s="1"/>
  <c r="CC3" i="5" s="1"/>
  <c r="CD3" i="5" s="1"/>
  <c r="BM4" i="6"/>
  <c r="BN4" i="6" s="1"/>
  <c r="BO4" i="6" s="1"/>
  <c r="BP4" i="6" s="1"/>
  <c r="BQ4" i="6" s="1"/>
  <c r="BR4" i="6" s="1"/>
  <c r="BS4" i="6" s="1"/>
  <c r="BT4" i="6" s="1"/>
  <c r="BU4" i="6" s="1"/>
  <c r="BV4" i="6" s="1"/>
  <c r="BW4" i="6" s="1"/>
  <c r="BU18" i="6" l="1"/>
  <c r="BX4" i="6"/>
  <c r="BY4" i="6" s="1"/>
  <c r="CA4" i="6" s="1"/>
  <c r="CB4" i="6" s="1"/>
  <c r="CE3" i="5"/>
  <c r="CF3" i="5" s="1"/>
  <c r="AV14" i="5"/>
  <c r="S4" i="8"/>
  <c r="T4" i="8" s="1"/>
  <c r="O20" i="8"/>
  <c r="O9" i="8"/>
  <c r="O19" i="8"/>
  <c r="AW24" i="5"/>
  <c r="CG3" i="5"/>
  <c r="CD14" i="5" l="1"/>
  <c r="CD13" i="5"/>
  <c r="CD12" i="5"/>
  <c r="R17" i="8"/>
  <c r="U4" i="8"/>
  <c r="X4" i="8" s="1"/>
  <c r="Y4" i="8" s="1"/>
  <c r="AF4" i="8" s="1"/>
  <c r="CH3" i="5"/>
  <c r="CC23" i="5" s="1"/>
  <c r="AG4" i="8" l="1"/>
  <c r="AM4" i="8" s="1"/>
  <c r="AO4" i="8" s="1"/>
  <c r="X19" i="8"/>
  <c r="AV4" i="8" l="1"/>
  <c r="AU4" i="8"/>
  <c r="AS4" i="8"/>
  <c r="AT4" i="8"/>
  <c r="Q22" i="8" s="1"/>
  <c r="AF21" i="8"/>
  <c r="AM15" i="8" l="1"/>
  <c r="BD4" i="8"/>
  <c r="AX4" i="8"/>
  <c r="AU13" i="8" s="1"/>
  <c r="BB4" i="8"/>
  <c r="AX15" i="8" s="1"/>
  <c r="BF4" i="8"/>
  <c r="B4" i="9" s="1"/>
  <c r="BF18" i="8" s="1"/>
  <c r="BC4" i="8"/>
  <c r="AZ4" i="8"/>
  <c r="AY4" i="8"/>
  <c r="O18" i="8" l="1"/>
  <c r="BG4" i="8"/>
  <c r="BH4" i="8"/>
  <c r="D4" i="9"/>
  <c r="F4" i="9" s="1"/>
  <c r="G4" i="9" s="1"/>
  <c r="H4" i="9" s="1"/>
  <c r="I4" i="9" s="1"/>
  <c r="J4" i="9" s="1"/>
  <c r="L4" i="9" s="1"/>
  <c r="O4" i="9" s="1"/>
  <c r="P4" i="9" s="1"/>
  <c r="V4" i="9" s="1"/>
  <c r="AT16" i="8"/>
  <c r="BB15" i="8"/>
  <c r="W4" i="9" l="1"/>
  <c r="AC4" i="9" s="1"/>
  <c r="O19" i="9"/>
  <c r="V21" i="9" l="1"/>
  <c r="AE4" i="9"/>
  <c r="AH4" i="9" s="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<sst xmlns="http://schemas.openxmlformats.org/spreadsheetml/2006/main" count="5074" uniqueCount="3125">
  <si>
    <t>Les points intégrés dans CAPI sont en couleur JAUNE</t>
  </si>
  <si>
    <t>Points intégrés mais necessitant une clarification par la suite en couleur VIOLET</t>
  </si>
  <si>
    <t>A FAIRE</t>
  </si>
  <si>
    <t>Revenir après à la section S04_Emploi</t>
  </si>
  <si>
    <r>
      <rPr>
        <b/>
        <sz val="14"/>
        <rFont val="Arial"/>
        <family val="2"/>
      </rPr>
      <t>REPÚBLICA DA GUINÉ-BISSAU</t>
    </r>
  </si>
  <si>
    <t>MINISTÉRIO DA ECONOMIA, PLANO E INTEGRAÇÃO REGIONAL</t>
  </si>
  <si>
    <r>
      <rPr>
        <b/>
        <sz val="10"/>
        <rFont val="Arial"/>
        <family val="2"/>
      </rPr>
      <t>INSTITUTO NACIONAL DE ESTATÍSTICA</t>
    </r>
  </si>
  <si>
    <t>EHCVM 2</t>
  </si>
  <si>
    <r>
      <rPr>
        <b/>
        <sz val="10"/>
        <rFont val="Arial"/>
        <family val="2"/>
      </rPr>
      <t>IDENTIFICAÇÃO DO AGREGADO FAMILIAR</t>
    </r>
  </si>
  <si>
    <t>AGLOMERADO/DR</t>
  </si>
  <si>
    <r>
      <rPr>
        <sz val="10"/>
        <rFont val="Arial"/>
        <family val="2"/>
      </rPr>
      <t>AGREGADO FAMILIAR</t>
    </r>
  </si>
  <si>
    <r>
      <rPr>
        <sz val="10"/>
        <rFont val="Arial"/>
        <family val="2"/>
      </rPr>
      <t>VAGA</t>
    </r>
  </si>
  <si>
    <t>INQUÉRITO HARMONIZADO SOBRE AS CONDIÇÕES DE VIDA DOS AGREGADOS FAMILIARES 2021/2022</t>
  </si>
  <si>
    <r>
      <rPr>
        <b/>
        <sz val="10"/>
        <rFont val="Arial"/>
        <family val="2"/>
      </rPr>
      <t xml:space="preserve">COM O APOIO DA COMISSÃO DA UEMOA E DO BANCO MUNDIAL </t>
    </r>
  </si>
  <si>
    <t xml:space="preserve">QUESTIONÁRIO AO AGREGADO FAMILIAR </t>
  </si>
  <si>
    <r>
      <rPr>
        <b/>
        <sz val="10"/>
        <rFont val="Arial"/>
        <family val="2"/>
      </rPr>
      <t>Coordenadas GPS do agregado familiar</t>
    </r>
  </si>
  <si>
    <t>1.Em que formato foi conduzida a entrevista?</t>
  </si>
  <si>
    <t xml:space="preserve">  1. PAPI</t>
  </si>
  <si>
    <r>
      <rPr>
        <sz val="10"/>
        <rFont val="Arial"/>
        <family val="2"/>
      </rPr>
      <t>Latitude</t>
    </r>
  </si>
  <si>
    <r>
      <rPr>
        <sz val="10"/>
        <rFont val="Arial"/>
        <family val="2"/>
      </rPr>
      <t>N</t>
    </r>
  </si>
  <si>
    <t xml:space="preserve">  2. CAPI</t>
  </si>
  <si>
    <t>2.Qual é a ronda da visita?</t>
  </si>
  <si>
    <r>
      <rPr>
        <sz val="10"/>
        <rFont val="Arial"/>
        <family val="2"/>
      </rPr>
      <t>Longitude</t>
    </r>
  </si>
  <si>
    <r>
      <rPr>
        <sz val="10"/>
        <rFont val="Arial"/>
        <family val="2"/>
      </rPr>
      <t>W</t>
    </r>
  </si>
  <si>
    <t>1 Primeira visita</t>
  </si>
  <si>
    <t xml:space="preserve"> 2 Segunda visita</t>
  </si>
  <si>
    <t>3 Terceira visita</t>
  </si>
  <si>
    <r>
      <rPr>
        <b/>
        <sz val="10"/>
        <rFont val="Arial"/>
        <family val="2"/>
      </rPr>
      <t>Nome e apelido do chefe do agregado familiar:</t>
    </r>
  </si>
  <si>
    <r>
      <rPr>
        <b/>
        <sz val="10"/>
        <rFont val="Arial"/>
        <family val="2"/>
      </rPr>
      <t>Morada (localização) do agregado familiar:</t>
    </r>
  </si>
  <si>
    <t>CONFIDENCIAL: Nos termos do artigo 7º, da Lei de Base do Sistema Estatístico Nacional, todos os dados estatísticos individuais recolhidos por órgãos produtores de Estatísticas Oficiais do SEN, são de natureza estritamente confidencial.</t>
  </si>
  <si>
    <r>
      <rPr>
        <b/>
        <u/>
        <sz val="12"/>
        <rFont val="Arial Narrow"/>
        <family val="2"/>
      </rPr>
      <t>ÍNDICE</t>
    </r>
  </si>
  <si>
    <r>
      <rPr>
        <b/>
        <sz val="10"/>
        <rFont val="Arial Narrow"/>
        <family val="2"/>
      </rPr>
      <t>INFORMAÇÕES DE CONTROLO</t>
    </r>
  </si>
  <si>
    <r>
      <rPr>
        <b/>
        <sz val="10"/>
        <rFont val="Arial Narrow"/>
        <family val="2"/>
      </rPr>
      <t>EMPRESAS NÃO-AGRÍCOLAS</t>
    </r>
  </si>
  <si>
    <r>
      <rPr>
        <sz val="10"/>
        <rFont val="Arial Narrow"/>
        <family val="2"/>
      </rPr>
      <t>A  Identificação do agregado familiar</t>
    </r>
  </si>
  <si>
    <r>
      <rPr>
        <sz val="10"/>
        <rFont val="Arial Narrow"/>
        <family val="2"/>
      </rPr>
      <t>A  Existência de empresas não-agrícolas</t>
    </r>
  </si>
  <si>
    <r>
      <rPr>
        <sz val="10"/>
        <rFont val="Arial Narrow"/>
        <family val="2"/>
      </rPr>
      <t>B  Contactos do agregado familiar</t>
    </r>
  </si>
  <si>
    <r>
      <rPr>
        <sz val="10"/>
        <rFont val="Arial Narrow"/>
        <family val="2"/>
      </rPr>
      <t>B  Características das empresas não-agrícolas (sem existências)</t>
    </r>
  </si>
  <si>
    <r>
      <rPr>
        <sz val="10"/>
        <rFont val="Arial Narrow"/>
        <family val="2"/>
      </rPr>
      <t>C  Informações de controlo</t>
    </r>
  </si>
  <si>
    <r>
      <rPr>
        <b/>
        <sz val="10"/>
        <rFont val="Arial Narrow"/>
        <family val="2"/>
      </rPr>
      <t>CARACTERÍSTICAS SOCIODEMOGRÁFICAS DOS MEMBROS DO AGREGADO FAMILIAR</t>
    </r>
  </si>
  <si>
    <r>
      <rPr>
        <b/>
        <sz val="10"/>
        <rFont val="Arial Narrow"/>
        <family val="2"/>
      </rPr>
      <t>HABITAÇÃO</t>
    </r>
  </si>
  <si>
    <r>
      <rPr>
        <b/>
        <sz val="10"/>
        <rFont val="Arial Narrow"/>
        <family val="2"/>
      </rPr>
      <t>EDUCAÇÃO (INDIVÍDUOS COM IDADE IGUAL OU SUPERIOR A 3 ANOS)</t>
    </r>
  </si>
  <si>
    <r>
      <rPr>
        <b/>
        <sz val="10"/>
        <rFont val="Arial Narrow"/>
        <family val="2"/>
      </rPr>
      <t>ATIVOS DO AGREGADO FAMILIAR</t>
    </r>
  </si>
  <si>
    <r>
      <rPr>
        <b/>
        <sz val="10"/>
        <rFont val="Arial Narrow"/>
        <family val="2"/>
      </rPr>
      <t>SAÚDE GERAL</t>
    </r>
  </si>
  <si>
    <r>
      <rPr>
        <b/>
        <sz val="10"/>
        <rFont val="Arial Narrow"/>
        <family val="2"/>
      </rPr>
      <t>TRANSFERÊNCIAS</t>
    </r>
  </si>
  <si>
    <r>
      <rPr>
        <b/>
        <sz val="10"/>
        <rFont val="Arial Narrow"/>
        <family val="2"/>
      </rPr>
      <t>EMPREGO (INDIVÍDUOS COM IDADE IGUAL OU SUPERIOR A 6 ANOS)</t>
    </r>
  </si>
  <si>
    <r>
      <rPr>
        <sz val="10"/>
        <rFont val="Arial Narrow"/>
        <family val="2"/>
      </rPr>
      <t>A  Transferências recebidas pelo agregado familiar</t>
    </r>
  </si>
  <si>
    <r>
      <rPr>
        <sz val="10"/>
        <rFont val="Arial Narrow"/>
        <family val="2"/>
      </rPr>
      <t>A  Situação relativamente à atividade</t>
    </r>
  </si>
  <si>
    <r>
      <rPr>
        <sz val="10"/>
        <rFont val="Arial Narrow"/>
        <family val="2"/>
      </rPr>
      <t>A  Transferências emitidas pelo agregado familiar</t>
    </r>
  </si>
  <si>
    <t>B  Emprego principal durante os últimos 12 meses</t>
  </si>
  <si>
    <r>
      <rPr>
        <b/>
        <sz val="10"/>
        <rFont val="Arial Narrow"/>
        <family val="2"/>
      </rPr>
      <t>IMPACTOS E ESTRATÉGIAS DE SOBREVIVÊNCIA</t>
    </r>
  </si>
  <si>
    <t>C  Emprego secundário durante os últimos 12 meses</t>
  </si>
  <si>
    <t>REDES DE SEGURANÇA</t>
  </si>
  <si>
    <t>C  RENDIMENTOS FORA DO EMPREGO DURANTE OS ÚLTIMOS 12 MESES</t>
  </si>
  <si>
    <r>
      <rPr>
        <b/>
        <sz val="10"/>
        <rFont val="Arial Narrow"/>
        <family val="2"/>
      </rPr>
      <t>AGRICULTURA</t>
    </r>
  </si>
  <si>
    <r>
      <rPr>
        <b/>
        <sz val="10"/>
        <rFont val="Arial Narrow"/>
        <family val="2"/>
      </rPr>
      <t>POUPANÇA E CRÉDITO</t>
    </r>
  </si>
  <si>
    <r>
      <rPr>
        <sz val="10"/>
        <rFont val="Arial Narrow"/>
        <family val="2"/>
      </rPr>
      <t>A  Parcelas</t>
    </r>
  </si>
  <si>
    <t>CONSUMO ALIMENTAR DURANTE OS ÚLTIMOS 7 DIAS</t>
  </si>
  <si>
    <r>
      <rPr>
        <sz val="10"/>
        <rFont val="Arial Narrow"/>
        <family val="2"/>
      </rPr>
      <t>B  Custo dos insumos</t>
    </r>
  </si>
  <si>
    <t>A  Refeições consumidas fora do agregado familiar durante os últimos 7 dias</t>
  </si>
  <si>
    <r>
      <rPr>
        <sz val="10"/>
        <rFont val="Arial Narrow"/>
        <family val="2"/>
      </rPr>
      <t>C  Culturas</t>
    </r>
  </si>
  <si>
    <t>B  Consumo alimentar durante os últimos 30 dias e compras durante os últimos 30 dias</t>
  </si>
  <si>
    <r>
      <rPr>
        <b/>
        <sz val="10"/>
        <rFont val="Arial Narrow"/>
        <family val="2"/>
      </rPr>
      <t>PECUÁRIA</t>
    </r>
  </si>
  <si>
    <r>
      <rPr>
        <b/>
        <sz val="10"/>
        <rFont val="Arial Narrow"/>
        <family val="2"/>
      </rPr>
      <t>SEGURANÇA ALIMENTAR</t>
    </r>
  </si>
  <si>
    <r>
      <rPr>
        <b/>
        <sz val="10"/>
        <rFont val="Arial Narrow"/>
        <family val="2"/>
      </rPr>
      <t>EQUIPAMENTOS AGRÍCOLAS</t>
    </r>
  </si>
  <si>
    <r>
      <rPr>
        <sz val="9"/>
        <rFont val="Arial Narrow"/>
        <family val="2"/>
      </rPr>
      <t>A  Escala de experiência de insegurança alimentar</t>
    </r>
  </si>
  <si>
    <r>
      <rPr>
        <b/>
        <sz val="9"/>
        <rFont val="Arial Narrow"/>
        <family val="2"/>
      </rPr>
      <t>PESCA</t>
    </r>
  </si>
  <si>
    <r>
      <rPr>
        <sz val="9"/>
        <rFont val="Arial Narrow"/>
        <family val="2"/>
      </rPr>
      <t>B Suplementos alimentares</t>
    </r>
  </si>
  <si>
    <t>POBREZA SUBJECTIVA, GOVERNANÇA, INSEGURANÇA</t>
  </si>
  <si>
    <r>
      <rPr>
        <b/>
        <sz val="10"/>
        <rFont val="Arial Narrow"/>
        <family val="2"/>
      </rPr>
      <t>DESPESAS RETROSPETIVAS NÃO ALIMENTARES DO AGREGADO FAMILIAR</t>
    </r>
  </si>
  <si>
    <t>A  Pobreza subjectiva</t>
  </si>
  <si>
    <t>A  Despesas com festas e cerimónias durante os últimos 12 meses</t>
  </si>
  <si>
    <t>B  Governança</t>
  </si>
  <si>
    <t>B  Despesas não alimentares durante os últimos 7 dias</t>
  </si>
  <si>
    <t>C   Insegurança</t>
  </si>
  <si>
    <t>C  Despesas não alimentares durante os últimos 30 dias</t>
  </si>
  <si>
    <t>LISTA EXAUSTIVA DE UNIDADES PARA A SEÇÃO 7B</t>
  </si>
  <si>
    <t>D  Despesas não alimentares durante os últimos 3 meses</t>
  </si>
  <si>
    <t>NOMENCLATURA DE CULTURAS PARA A SEÇÃO 16A</t>
  </si>
  <si>
    <t>E  Despesas não alimentares durante os últimos 6 meses</t>
  </si>
  <si>
    <t>OBSERVAÇÕES</t>
  </si>
  <si>
    <t>F  Despesas não alimentares durante os últimos 12 meses</t>
  </si>
  <si>
    <t>VARIÁVEIS</t>
  </si>
  <si>
    <t>SECÇÃO 0: IDENTIFICAÇÃO DO AGREGADO FAMILIAR E INFORMAÇÕES DE CONTROLO</t>
  </si>
  <si>
    <r>
      <rPr>
        <b/>
        <sz val="9"/>
        <rFont val="Arial Narrow"/>
        <family val="2"/>
      </rPr>
      <t>A</t>
    </r>
  </si>
  <si>
    <r>
      <rPr>
        <b/>
        <sz val="9"/>
        <rFont val="Arial Narrow"/>
        <family val="2"/>
      </rPr>
      <t xml:space="preserve">Identificação do agregado familiar </t>
    </r>
  </si>
  <si>
    <r>
      <rPr>
        <sz val="9"/>
        <rFont val="Arial Narrow"/>
        <family val="2"/>
      </rPr>
      <t>01.-</t>
    </r>
  </si>
  <si>
    <r>
      <rPr>
        <sz val="9"/>
        <rFont val="Arial Narrow"/>
        <family val="2"/>
      </rPr>
      <t xml:space="preserve">Região </t>
    </r>
  </si>
  <si>
    <r>
      <rPr>
        <sz val="9"/>
        <rFont val="Arial Narrow"/>
        <family val="2"/>
      </rPr>
      <t>NOME:</t>
    </r>
  </si>
  <si>
    <r>
      <rPr>
        <sz val="9"/>
        <rFont val="Arial Narrow"/>
        <family val="2"/>
      </rPr>
      <t>CÓDIGO:</t>
    </r>
  </si>
  <si>
    <r>
      <rPr>
        <sz val="9"/>
        <rFont val="Arial Narrow"/>
        <family val="2"/>
      </rPr>
      <t>02.-</t>
    </r>
  </si>
  <si>
    <r>
      <rPr>
        <sz val="9"/>
        <rFont val="Arial Narrow"/>
        <family val="2"/>
      </rPr>
      <t>Setor</t>
    </r>
  </si>
  <si>
    <r>
      <rPr>
        <sz val="9"/>
        <rFont val="Arial Narrow"/>
        <family val="2"/>
      </rPr>
      <t>03.-</t>
    </r>
  </si>
  <si>
    <r>
      <rPr>
        <sz val="9"/>
        <rFont val="Arial Narrow"/>
        <family val="2"/>
      </rPr>
      <t>04.-</t>
    </r>
  </si>
  <si>
    <t>Meio de residência</t>
  </si>
  <si>
    <r>
      <rPr>
        <sz val="9"/>
        <rFont val="Arial Narrow"/>
        <family val="2"/>
      </rPr>
      <t>1. Urbano                              2. Rural</t>
    </r>
  </si>
  <si>
    <r>
      <rPr>
        <sz val="9"/>
        <rFont val="Arial Narrow"/>
        <family val="2"/>
      </rPr>
      <t>05.-</t>
    </r>
  </si>
  <si>
    <r>
      <rPr>
        <sz val="9"/>
        <rFont val="Arial Narrow"/>
        <family val="2"/>
      </rPr>
      <t>Tabanca/Bairro</t>
    </r>
  </si>
  <si>
    <t>06.-</t>
  </si>
  <si>
    <t>N.º do Distrito de Recenseamento (DR)</t>
  </si>
  <si>
    <t>07.-</t>
  </si>
  <si>
    <t>Número do agregado familiar no DR</t>
  </si>
  <si>
    <t>07A.-</t>
  </si>
  <si>
    <t>Tipo de agregado</t>
  </si>
  <si>
    <t>1 = Agregado residente, 2 = Agregado num acampamento para pessoas deslocadas internamente ou refugiados ►0,08</t>
  </si>
  <si>
    <t>07B.-</t>
  </si>
  <si>
    <t>O seu agregado mora nesta localidade há menos de 5 anos?</t>
  </si>
  <si>
    <t>1 Sim</t>
  </si>
  <si>
    <t>07C.-</t>
  </si>
  <si>
    <t>Você deixou seu local de residência anterior por causa de guerra, conflitos na comunidade, violência ou ataque de catástrofe natural?</t>
  </si>
  <si>
    <t>1. Sim</t>
  </si>
  <si>
    <t>2. Não</t>
  </si>
  <si>
    <t>07D.-</t>
  </si>
  <si>
    <t>O agregado famiiar foi entrevistada durante o último inquérito em 2018/2019</t>
  </si>
  <si>
    <t>2. Não ►0.08</t>
  </si>
  <si>
    <t>07E.-</t>
  </si>
  <si>
    <t>O agregado ocupava o mesmo alojamento durante o inquérito de 2018/19</t>
  </si>
  <si>
    <t>07F1.-</t>
  </si>
  <si>
    <t>Número de DR em 2018/2019</t>
  </si>
  <si>
    <t>07F2.-</t>
  </si>
  <si>
    <t>Número de agregado em 2018/2019</t>
  </si>
  <si>
    <t>08.-</t>
  </si>
  <si>
    <t>Resultado da entrevista</t>
  </si>
  <si>
    <t>1= Concluída, agregado familiar selecionado ►(0.10)    2=Concluída, agregado familiar substituto►(0.10)   3=Não concluída</t>
  </si>
  <si>
    <t>09.-</t>
  </si>
  <si>
    <t>Motivo</t>
  </si>
  <si>
    <t xml:space="preserve">1=Recusa   2= Ausente    3=Alojamento desocupada ►(Fim do questionário)  </t>
  </si>
  <si>
    <t>B</t>
  </si>
  <si>
    <t>Contacto do agregado familiar</t>
  </si>
  <si>
    <r>
      <rPr>
        <sz val="9"/>
        <rFont val="Arial Narrow"/>
        <family val="2"/>
      </rPr>
      <t>10.-</t>
    </r>
  </si>
  <si>
    <r>
      <rPr>
        <sz val="9"/>
        <rFont val="Arial Narrow"/>
        <family val="2"/>
      </rPr>
      <t>Nome e apelido do chefe do agregado familiar</t>
    </r>
  </si>
  <si>
    <r>
      <rPr>
        <sz val="9"/>
        <rFont val="Arial Narrow"/>
        <family val="2"/>
      </rPr>
      <t>11.-</t>
    </r>
  </si>
  <si>
    <r>
      <rPr>
        <sz val="9"/>
        <rFont val="Arial Narrow"/>
        <family val="2"/>
      </rPr>
      <t>Morada (localização) do agregado familiar</t>
    </r>
  </si>
  <si>
    <t>12A.-</t>
  </si>
  <si>
    <t>Primeiro Número do telemóvel do chefe do agregado familiar</t>
  </si>
  <si>
    <r>
      <rPr>
        <sz val="9"/>
        <rFont val="Arial Narrow"/>
        <family val="2"/>
      </rPr>
      <t>NÚMERO:</t>
    </r>
  </si>
  <si>
    <t>12B.-</t>
  </si>
  <si>
    <t>Segundo Número do telemóvel do chefe do agregado familiar</t>
  </si>
  <si>
    <r>
      <rPr>
        <sz val="9"/>
        <rFont val="Arial Narrow"/>
        <family val="2"/>
      </rPr>
      <t>13.-</t>
    </r>
  </si>
  <si>
    <t>Nome de outro membro do agregado familiar que possui um número de telemóvel</t>
  </si>
  <si>
    <r>
      <rPr>
        <sz val="9"/>
        <rFont val="Arial Narrow"/>
        <family val="2"/>
      </rPr>
      <t>14.-</t>
    </r>
  </si>
  <si>
    <r>
      <rPr>
        <sz val="9"/>
        <rFont val="Arial Narrow"/>
        <family val="2"/>
      </rPr>
      <t>Número do telemóvel desse outro membro do agregado familiar</t>
    </r>
  </si>
  <si>
    <r>
      <rPr>
        <sz val="9"/>
        <rFont val="Arial Narrow"/>
        <family val="2"/>
      </rPr>
      <t>15.-</t>
    </r>
  </si>
  <si>
    <r>
      <rPr>
        <sz val="9"/>
        <rFont val="Arial Narrow"/>
        <family val="2"/>
      </rPr>
      <t>Nome de um primeiro contacto não pertencente ao agregado familiar que possui um número de telemóvel</t>
    </r>
  </si>
  <si>
    <r>
      <rPr>
        <sz val="9"/>
        <rFont val="Arial Narrow"/>
        <family val="2"/>
      </rPr>
      <t>16.-</t>
    </r>
  </si>
  <si>
    <r>
      <rPr>
        <sz val="9"/>
        <rFont val="Arial Narrow"/>
        <family val="2"/>
      </rPr>
      <t>Número do telemóvel dessa outra pessoa</t>
    </r>
  </si>
  <si>
    <r>
      <rPr>
        <sz val="9"/>
        <rFont val="Arial Narrow"/>
        <family val="2"/>
      </rPr>
      <t>17.-</t>
    </r>
  </si>
  <si>
    <r>
      <rPr>
        <sz val="9"/>
        <rFont val="Arial Narrow"/>
        <family val="2"/>
      </rPr>
      <t>Nome de um segundo contacto não pertencente ao agregado familiar que possui um número de telemóvel</t>
    </r>
  </si>
  <si>
    <r>
      <rPr>
        <sz val="9"/>
        <rFont val="Arial Narrow"/>
        <family val="2"/>
      </rPr>
      <t>18.-</t>
    </r>
  </si>
  <si>
    <t>C</t>
  </si>
  <si>
    <t>Informações de controlo</t>
  </si>
  <si>
    <r>
      <rPr>
        <sz val="9"/>
        <rFont val="Arial Narrow"/>
        <family val="2"/>
      </rPr>
      <t>19.-</t>
    </r>
  </si>
  <si>
    <t>Nome e apelido do agente entrevistador</t>
  </si>
  <si>
    <r>
      <rPr>
        <sz val="9"/>
        <rFont val="Arial Narrow"/>
        <family val="2"/>
      </rPr>
      <t>20.-</t>
    </r>
  </si>
  <si>
    <r>
      <rPr>
        <sz val="9"/>
        <rFont val="Arial Narrow"/>
        <family val="2"/>
      </rPr>
      <t>Nome e apelido do controlador</t>
    </r>
  </si>
  <si>
    <r>
      <rPr>
        <sz val="9"/>
        <rFont val="Arial Narrow"/>
        <family val="2"/>
      </rPr>
      <t>21.-</t>
    </r>
  </si>
  <si>
    <t>Nome e apelido do agente de verificação</t>
  </si>
  <si>
    <r>
      <rPr>
        <sz val="9"/>
        <rFont val="Arial Narrow"/>
        <family val="2"/>
      </rPr>
      <t>22.-</t>
    </r>
  </si>
  <si>
    <r>
      <rPr>
        <sz val="9"/>
        <rFont val="Arial Narrow"/>
        <family val="2"/>
      </rPr>
      <t>Número de visitas necessárias para administrar o questionário</t>
    </r>
  </si>
  <si>
    <r>
      <rPr>
        <sz val="9"/>
        <rFont val="Arial Narrow"/>
        <family val="2"/>
      </rPr>
      <t>NÚMERO</t>
    </r>
  </si>
  <si>
    <t>Dia</t>
  </si>
  <si>
    <t>Mês</t>
  </si>
  <si>
    <t>Ano</t>
  </si>
  <si>
    <t>Hora/minutos de início</t>
  </si>
  <si>
    <t>Hora/minutos de fim</t>
  </si>
  <si>
    <r>
      <rPr>
        <sz val="9"/>
        <rFont val="Arial Narrow"/>
        <family val="2"/>
      </rPr>
      <t>23.-</t>
    </r>
  </si>
  <si>
    <r>
      <rPr>
        <sz val="9"/>
        <rFont val="Arial Narrow"/>
        <family val="2"/>
      </rPr>
      <t>Recolha - Visita 1</t>
    </r>
  </si>
  <si>
    <r>
      <rPr>
        <sz val="9"/>
        <rFont val="Arial Narrow"/>
        <family val="2"/>
      </rPr>
      <t>24.-</t>
    </r>
  </si>
  <si>
    <r>
      <rPr>
        <sz val="9"/>
        <rFont val="Arial Narrow"/>
        <family val="2"/>
      </rPr>
      <t>Recolha - Visita 2</t>
    </r>
  </si>
  <si>
    <r>
      <rPr>
        <sz val="9"/>
        <rFont val="Arial Narrow"/>
        <family val="2"/>
      </rPr>
      <t>25.-</t>
    </r>
  </si>
  <si>
    <r>
      <rPr>
        <sz val="9"/>
        <rFont val="Arial Narrow"/>
        <family val="2"/>
      </rPr>
      <t>Recolha - Visita 3</t>
    </r>
  </si>
  <si>
    <r>
      <rPr>
        <sz val="9"/>
        <rFont val="Arial Narrow"/>
        <family val="2"/>
      </rPr>
      <t>26.-</t>
    </r>
  </si>
  <si>
    <r>
      <rPr>
        <sz val="9"/>
        <rFont val="Arial Narrow"/>
        <family val="2"/>
      </rPr>
      <t>Controlo</t>
    </r>
  </si>
  <si>
    <r>
      <rPr>
        <sz val="9"/>
        <rFont val="Arial Narrow"/>
        <family val="2"/>
      </rPr>
      <t>27.-</t>
    </r>
  </si>
  <si>
    <r>
      <rPr>
        <sz val="9"/>
        <rFont val="Arial Narrow"/>
        <family val="2"/>
      </rPr>
      <t>Resultado do questionário</t>
    </r>
  </si>
  <si>
    <r>
      <rPr>
        <sz val="9"/>
        <rFont val="Arial Narrow"/>
        <family val="2"/>
      </rPr>
      <t xml:space="preserve">1=Completo                         2=Parcial </t>
    </r>
  </si>
  <si>
    <t>28.-</t>
  </si>
  <si>
    <r>
      <rPr>
        <sz val="9"/>
        <rFont val="Arial Narrow"/>
        <family val="2"/>
      </rPr>
      <t>Língua da entrevista</t>
    </r>
  </si>
  <si>
    <t>1=Crioulo 2=Fula  3=Balanta 4=Mandinga  5=Papel 6=Manjaco 7 =Beafada  8=Mancanha  9=Outras Linguas:</t>
  </si>
  <si>
    <t>29.-</t>
  </si>
  <si>
    <r>
      <rPr>
        <sz val="9"/>
        <rFont val="Arial Narrow"/>
        <family val="2"/>
      </rPr>
      <t>Número de questionários utilizados no agregado familiar</t>
    </r>
  </si>
  <si>
    <t>30.-</t>
  </si>
  <si>
    <t>Número de ordem do presente questionário entre os questionários utilizados no agregado familiar</t>
  </si>
  <si>
    <t>NÚMERO DE ORDEM:</t>
  </si>
  <si>
    <t>31.-</t>
  </si>
  <si>
    <r>
      <rPr>
        <sz val="9"/>
        <rFont val="Arial Narrow"/>
        <family val="2"/>
      </rPr>
      <t>Número de membros do agregado familiar</t>
    </r>
  </si>
  <si>
    <t>LISTA DE MEMBROS - FLAP</t>
  </si>
  <si>
    <t>SECÇÃO 1: CARACTERÍSTICAS SOCIODEMOGRÁFICAS DOS MEMBROS DO AGREGADO FAMILIAR</t>
  </si>
  <si>
    <t>CÓDIGO ID:</t>
  </si>
  <si>
    <t>ORDEM DE REGISTO</t>
  </si>
  <si>
    <t xml:space="preserve">A. Para os agregados inquiridos ​​em 2018/2019: a lista de todas as pessoas que moravam no alojamento durante a primeira edição é relatada. As novas pessoas que chegaram à residência são adicionadas posteriormente.
B. Para os novos agregados: faça uma lista de todas as pessoas que vivem no alojamento, presentes ou ausentes no momento da pesquisa. Para ter certeza de não esquecer alguns indivíduos, liste-os na ordem descrita abaixo
</t>
  </si>
  <si>
    <t>CÓDIGO ID do respondente</t>
  </si>
  <si>
    <t>[NOME] ainda mora neste agregado?</t>
  </si>
  <si>
    <t>Por que razão [NOME] não mora mais neste agregado?</t>
  </si>
  <si>
    <t>Desde quando o [NOME] saiu do agregado?</t>
  </si>
  <si>
    <t xml:space="preserve">INQUIRIDOR:
[NOME] é um novo membro do agregado ou alguém esquecido no inquérito 2018/19?
</t>
  </si>
  <si>
    <t>Há quanto tempo [NOME] mora no agregado?</t>
  </si>
  <si>
    <t>Por que [NOME] veio morar neste agregado ou não foi entrevistado em 2018/2019?</t>
  </si>
  <si>
    <t>Qual é o Sexo (NOME)?</t>
  </si>
  <si>
    <t>Qual é o laço de parentesco de [NOME] com o chefe do agregado familiar?</t>
  </si>
  <si>
    <t>Qual é a data de nascimento de [NOME]?</t>
  </si>
  <si>
    <t>Que idade fez [NOME] no seu último aniversário?</t>
  </si>
  <si>
    <t>Será que o [NOME] dispõe de uma certidão de nascimento?</t>
  </si>
  <si>
    <t>A certidão de nascimento foi mostrada?</t>
  </si>
  <si>
    <r>
      <rPr>
        <b/>
        <sz val="9"/>
        <rFont val="Arial Narrow"/>
        <family val="2"/>
      </rPr>
      <t>No caso das pessoas com idade igual ou superior a 10 anos</t>
    </r>
    <r>
      <rPr>
        <sz val="9"/>
        <rFont val="Arial Narrow"/>
        <family val="2"/>
      </rPr>
      <t>, qual é o estado civil de [NOME]?</t>
    </r>
  </si>
  <si>
    <t>O(s) cônjuge(s) de [NOME] vive(m) no agregado familiar?</t>
  </si>
  <si>
    <t>Qual (quais) é (são) o(s) código(s) ID do(s) cônjuge(s) de [NOME]?</t>
  </si>
  <si>
    <t>Com que idade [NOME] se casou pela primeira vez?</t>
  </si>
  <si>
    <t>[NOME] está presente na altura do inquérito?</t>
  </si>
  <si>
    <t>[NOME] vive em regime permanente neste agregado familiar pelo menos nos últimos 6 meses?</t>
  </si>
  <si>
    <t>[NOME] pretende ficar no agregado por pelo menos 6 meses?</t>
  </si>
  <si>
    <t>Qual é a religião de [NOME]?</t>
  </si>
  <si>
    <t>Qual é a nacionalidade de [NOME]?</t>
  </si>
  <si>
    <t>No caso dos nacionais, qual é a etnia de [NOME]?</t>
  </si>
  <si>
    <t>[NOME] nasceu em [localidade de residência]?</t>
  </si>
  <si>
    <t>[NOME] alguma vez residiu noutra localidade durante mais de 6 meses?</t>
  </si>
  <si>
    <t>Qual é a última cidade onde [NOME] morou antes de vir morar aqui?</t>
  </si>
  <si>
    <t>Durante quantos anos [NOME] residiu nessa localidade antes de vir morar  aqui?</t>
  </si>
  <si>
    <t>Qual foi a razão principal para [NOME] ter vindo morar para esta localidade?</t>
  </si>
  <si>
    <t>Há quantos anos [NOME] mora em [local de residência]?</t>
  </si>
  <si>
    <t>O pai de [NOME] vive no agregado familiar?</t>
  </si>
  <si>
    <t>ESCREVER O CÓDIGO ID DO PAI DE [NOME]</t>
  </si>
  <si>
    <t>O pai de [NOME] está vivo?</t>
  </si>
  <si>
    <t>Qual é o nível de instrução mais elevado obtido pelo pai de [NOME]?</t>
  </si>
  <si>
    <t>Que ramo de atividade principal exerceu o pai de [NOME]?</t>
  </si>
  <si>
    <t>Qual era a categoria socioprofissional do pai de [NOME]?</t>
  </si>
  <si>
    <t>Qual era o setor institucional do pai de [NOME]?</t>
  </si>
  <si>
    <t>A mãe de [NOME] vive no agregado familiar?</t>
  </si>
  <si>
    <t>ESCREVE O CÓDIGO ID DA MÃE DE [NOME]</t>
  </si>
  <si>
    <t>A mãe de [NOME] é viva?</t>
  </si>
  <si>
    <t>Qual é o nível de instrução mais elevado obtido pela mãe de [NOME]?</t>
  </si>
  <si>
    <t>Que ramo de atividade principal exerceu a mãe de [NOME]?</t>
  </si>
  <si>
    <t>Qual era a categoria socioprofissional da mãe de [NOME]?</t>
  </si>
  <si>
    <t>Qual era o setor institucional da mãe de [NOME]?</t>
  </si>
  <si>
    <t>No caso de pessoas com idade igual ou superior a 10 anos, [NOME] possui telemóvel?</t>
  </si>
  <si>
    <t>Mesmo que [NOME] não tenha seu próprio telemovel, [NOME] usou um telefone nos últimos 7 dias?</t>
  </si>
  <si>
    <t>Quanto ele gastou em cartões pré-pagos incluindo transferências de crédito nos últimos 7 dias (excluindo assinatura mensal)?</t>
  </si>
  <si>
    <r>
      <t xml:space="preserve">[NOME] acedeu à internet?                                             </t>
    </r>
    <r>
      <rPr>
        <b/>
        <sz val="9"/>
        <rFont val="Arial Narrow"/>
        <family val="2"/>
      </rPr>
      <t>Escrever 1 para SIM e 2 para NÃO</t>
    </r>
  </si>
  <si>
    <t>01=Fula</t>
  </si>
  <si>
    <r>
      <t xml:space="preserve">No caso das crianças com menos de 5 anos (0 a 59 meses), idade em meses e anos; </t>
    </r>
    <r>
      <rPr>
        <b/>
        <sz val="9"/>
        <rFont val="Arial Narrow"/>
        <family val="2"/>
      </rPr>
      <t>por exemplo uma criança de 2 anos e 6 meses, escrever 2 na coluna ANOS e 6 na coluna MESES</t>
    </r>
    <r>
      <rPr>
        <sz val="9"/>
        <rFont val="Arial Narrow"/>
        <family val="2"/>
      </rPr>
      <t>.  No caso das pessoas com idade igual ou superior a 5 anos, idade em anos aquando do último aniversário.</t>
    </r>
  </si>
  <si>
    <t>1=Muçulmano(a)</t>
  </si>
  <si>
    <t>01 Benin
02 Burkina Faso
03 Cabo Verde
04 Costa do Marfim
05 Gâmbia
06 Gana
07 Guiné
08 Guiné-Bissau
09 Libéria
10 Mali
11 niger
12 Nigéria
13 senegal
14 Serra-Leonne
15 Togo
16 Outra CEDEAO
17 Outra África
18 Outros países fora da África</t>
  </si>
  <si>
    <t>02=Balanta</t>
  </si>
  <si>
    <t>01 Capital</t>
  </si>
  <si>
    <t>01 Enviado por sua família para trabalhar</t>
  </si>
  <si>
    <t>1 Era um visitante</t>
  </si>
  <si>
    <t xml:space="preserve"> 01 Chefe do agregado familiar</t>
  </si>
  <si>
    <t>2 Cristão(ã)</t>
  </si>
  <si>
    <t>03=Mandinga</t>
  </si>
  <si>
    <t>200 Outro urbano</t>
  </si>
  <si>
    <t>02 Veio com seu pai</t>
  </si>
  <si>
    <t>Assalariado</t>
  </si>
  <si>
    <t>1 Nenhum</t>
  </si>
  <si>
    <t>CHEFE DO AGREGADO FAMILIAR</t>
  </si>
  <si>
    <t>2 Casamento</t>
  </si>
  <si>
    <t>1 Masculino</t>
  </si>
  <si>
    <t xml:space="preserve"> 1 Presente visto</t>
  </si>
  <si>
    <t>3 Animista</t>
  </si>
  <si>
    <t>04=Papel</t>
  </si>
  <si>
    <t>300 áreas rurais</t>
  </si>
  <si>
    <t>03 Seguir / juntar-se à sua família</t>
  </si>
  <si>
    <t>1 Quadro Superior</t>
  </si>
  <si>
    <t>1 Administração pública</t>
  </si>
  <si>
    <t>2 Ensino Primário 1º ciclo (1ª a 4ª classe)</t>
  </si>
  <si>
    <t>A</t>
  </si>
  <si>
    <t>D</t>
  </si>
  <si>
    <t>E</t>
  </si>
  <si>
    <t>FILHOS DO CAF CUJA MÃE NÃO VIVE NO AGREGADO FAMILIAR</t>
  </si>
  <si>
    <t>2 Não</t>
  </si>
  <si>
    <t>3 Divórcio/Separação</t>
  </si>
  <si>
    <t>2 Feminino</t>
  </si>
  <si>
    <t xml:space="preserve"> 02 Cônjuge</t>
  </si>
  <si>
    <t xml:space="preserve">1 Solteiro (a)►(1.11)  </t>
  </si>
  <si>
    <t xml:space="preserve"> 2 Presente não visto</t>
  </si>
  <si>
    <t>4 Outra religião</t>
  </si>
  <si>
    <t>05=Manjaco</t>
  </si>
  <si>
    <t>04 Benin</t>
  </si>
  <si>
    <t>04 Falta de emprego</t>
  </si>
  <si>
    <t>2 Quadro Médio</t>
  </si>
  <si>
    <t>3 Ensino Primário 2º ciclo (5ª a 6ª classe)</t>
  </si>
  <si>
    <t>Por telefone</t>
  </si>
  <si>
    <t>No escritório</t>
  </si>
  <si>
    <t>No cibercafé</t>
  </si>
  <si>
    <t>Em casa</t>
  </si>
  <si>
    <t>Na escola/universidade</t>
  </si>
  <si>
    <t xml:space="preserve">1.ª ESPOSA SEGUIDA PELOS FILHOS (DO MAIS NOVO AO MAIS VELHO) </t>
  </si>
  <si>
    <r>
      <t xml:space="preserve">4 Falecimento </t>
    </r>
    <r>
      <rPr>
        <sz val="8"/>
        <rFont val="Arial Narrow"/>
        <family val="2"/>
      </rPr>
      <t>(COVID-19)</t>
    </r>
  </si>
  <si>
    <t xml:space="preserve"> 03 Filho, Filha</t>
  </si>
  <si>
    <t>2 Casado(a) monogâmico(a)</t>
  </si>
  <si>
    <t xml:space="preserve">2 Não 
►(1.10)   </t>
  </si>
  <si>
    <t xml:space="preserve"> 3 Ausente</t>
  </si>
  <si>
    <t>5 Sem religião</t>
  </si>
  <si>
    <t>06=Beafada</t>
  </si>
  <si>
    <t>05 Burkina Faso</t>
  </si>
  <si>
    <t>05 melhores oportunidades aqui</t>
  </si>
  <si>
    <t>1 Agricultura, Pecuária, Pescas…</t>
  </si>
  <si>
    <t>3 Trabalhador ou empregado qualificado</t>
  </si>
  <si>
    <t>2 Empresa pública</t>
  </si>
  <si>
    <t>4 Secundário 1º ciclo (7ª a 9ª classe)</t>
  </si>
  <si>
    <t>2.ª ESPOSA E FILHOS; 3.ª ESPOSA E FILHOS, ETC.</t>
  </si>
  <si>
    <t>5 Falecimento (outra causa)</t>
  </si>
  <si>
    <t>1 Visitante (por menos de 6 meses)</t>
  </si>
  <si>
    <t xml:space="preserve"> 04 Pai, Mãe</t>
  </si>
  <si>
    <t xml:space="preserve"> 1 Sim</t>
  </si>
  <si>
    <t>3 Casado(a) poligâmico(a)</t>
  </si>
  <si>
    <t>1 Sim►(1.14)</t>
  </si>
  <si>
    <t>07=Mancanha</t>
  </si>
  <si>
    <t>06 Cabo Verde</t>
  </si>
  <si>
    <t>06 Atribuição</t>
  </si>
  <si>
    <t>5 Ensino Técnico/Profissional</t>
  </si>
  <si>
    <t>2 Minas, pedreiras</t>
  </si>
  <si>
    <t>3 Grande empresa privada</t>
  </si>
  <si>
    <t>IRMÃOS E IRMÃS DO CAF</t>
  </si>
  <si>
    <t>6 Continuar os estudos em outra parte do país</t>
  </si>
  <si>
    <t>2 recém-nascido</t>
  </si>
  <si>
    <t xml:space="preserve"> 05 Neto, neta</t>
  </si>
  <si>
    <t xml:space="preserve"> 2 Não</t>
  </si>
  <si>
    <t>4 União de facto</t>
  </si>
  <si>
    <t>08=Bijagos</t>
  </si>
  <si>
    <t>07 Costa do Marfim</t>
  </si>
  <si>
    <t>07 Falta de terra</t>
  </si>
  <si>
    <t>5 'Ensino Técnico/Profissional</t>
  </si>
  <si>
    <t>4 Trabalhador ou empregado não qualificado</t>
  </si>
  <si>
    <t>6 Secundário 2º ciclo (10 a 12 classe)</t>
  </si>
  <si>
    <t>3 Indústrias, eletricidade, água</t>
  </si>
  <si>
    <t>4 Empresa em nome individual</t>
  </si>
  <si>
    <t>PAI, MÃE DO CAF</t>
  </si>
  <si>
    <t>7 Afectação ou outro emprego noutro lugar no país</t>
  </si>
  <si>
    <t>3 Criança adotada ou confiada</t>
  </si>
  <si>
    <t xml:space="preserve"> 06 Avós</t>
  </si>
  <si>
    <t xml:space="preserve"> 2 Não ►(1.07)</t>
  </si>
  <si>
    <t xml:space="preserve">5 Viúvo(a) ►(1.10)   </t>
  </si>
  <si>
    <t>09=Felupe</t>
  </si>
  <si>
    <t>08 Gâmbia</t>
  </si>
  <si>
    <t>08 Escola</t>
  </si>
  <si>
    <t>7 Médio</t>
  </si>
  <si>
    <t>4 Construção civil</t>
  </si>
  <si>
    <t>5 Operário/Servente/governanta</t>
  </si>
  <si>
    <t>5 Empresa associativa</t>
  </si>
  <si>
    <t>NETOS E NETAS DO CAF</t>
  </si>
  <si>
    <t>8 perda de emprego</t>
  </si>
  <si>
    <t>4 Casamento</t>
  </si>
  <si>
    <t xml:space="preserve"> 07 Irmão, irmã</t>
  </si>
  <si>
    <t xml:space="preserve"> 3 NA  ►(1.07)</t>
  </si>
  <si>
    <t>Se [NOME] dispõe de certidão de nascimento, certifique-se de que a data escrita está em conformidade com 1.03</t>
  </si>
  <si>
    <t xml:space="preserve">6 Divorciado(a) ►(1.10)    </t>
  </si>
  <si>
    <t>10=Outras Etnias</t>
  </si>
  <si>
    <t>09 Gana</t>
  </si>
  <si>
    <t>09 casamento</t>
  </si>
  <si>
    <t>8 Superior</t>
  </si>
  <si>
    <t>5 Comércio</t>
  </si>
  <si>
    <t>6 Estagiário ou aprendiz remunerado</t>
  </si>
  <si>
    <t>6 Organismo International/ ONG</t>
  </si>
  <si>
    <t>SOBRINHOS E SOBRINHAS</t>
  </si>
  <si>
    <t>9 Procura de trabalho em outro lugar do país</t>
  </si>
  <si>
    <t>5 Divórcio / Separação</t>
  </si>
  <si>
    <t xml:space="preserve">08 Sobrinho(a) </t>
  </si>
  <si>
    <t xml:space="preserve">7 Separado(a) ►(1.10)     </t>
  </si>
  <si>
    <t>11=Naturalizado</t>
  </si>
  <si>
    <t>10 Guiné</t>
  </si>
  <si>
    <t>10 divórcio</t>
  </si>
  <si>
    <t>9 Não sabe (NS)</t>
  </si>
  <si>
    <t>6 Transporte</t>
  </si>
  <si>
    <t>Não assalariado</t>
  </si>
  <si>
    <t>7 Serviço doméstico</t>
  </si>
  <si>
    <t>3 NA ►Pessoa seguinte</t>
  </si>
  <si>
    <t>OUTROS PARENTES DO CAF E/OU DAS SUAS ESPOSAS</t>
  </si>
  <si>
    <t>10 Migração devido a COVID-19</t>
  </si>
  <si>
    <t>6 Continuar os estudos</t>
  </si>
  <si>
    <t>09 Outros parentes do CAF/cônjuge</t>
  </si>
  <si>
    <t>8 NA ► (1.11)</t>
  </si>
  <si>
    <t>11 Guiné Bissau</t>
  </si>
  <si>
    <t>11 Perda do cônjuge</t>
  </si>
  <si>
    <t>7 Restauração, hotelaria</t>
  </si>
  <si>
    <t>7 Estagiário ou aprendiz  não remunerado</t>
  </si>
  <si>
    <t>8 Não sabe (NS)</t>
  </si>
  <si>
    <t>PESSOAS SEM LAÇO DE PARENTESCO COM O CAF</t>
  </si>
  <si>
    <t>11 Migração dentro do país (saúde, família, etc.)</t>
  </si>
  <si>
    <t>7 Fim dos estudos, volta para o agregado</t>
  </si>
  <si>
    <t>10 Pessoa não aparentada com o CAF/cônjuge</t>
  </si>
  <si>
    <t>12 Libéria</t>
  </si>
  <si>
    <t>12 Outros problemas familiares</t>
  </si>
  <si>
    <t>8 Trabalhador familiar contribuinte numa empresa familiar</t>
  </si>
  <si>
    <t>12 Seguir os estudos em outro lugar no exterior</t>
  </si>
  <si>
    <t>8 Atribuição ou novo trabalho</t>
  </si>
  <si>
    <t>11 Empregado(a) doméstico(a) ou parente do empregado(a) doméstico(a)</t>
  </si>
  <si>
    <t xml:space="preserve"> (Relativamente à data do inquérito)
</t>
  </si>
  <si>
    <t>13 Mali</t>
  </si>
  <si>
    <t xml:space="preserve">13 Doença de um membro da família </t>
  </si>
  <si>
    <t>9 Serviços</t>
  </si>
  <si>
    <t>9 Trabalhador por conta própria</t>
  </si>
  <si>
    <t>13 Outra migração para o exterior</t>
  </si>
  <si>
    <t>9 Procurar trabalho em outro lugar</t>
  </si>
  <si>
    <t>14 niger</t>
  </si>
  <si>
    <t>14 Covid-19</t>
  </si>
  <si>
    <t>8 Artes e espetáculos</t>
  </si>
  <si>
    <t>10 Não sabe (NS)</t>
  </si>
  <si>
    <t>10 Patrão/Empregador</t>
  </si>
  <si>
    <t>10 Perda de emprego</t>
  </si>
  <si>
    <t>15 Nigéria</t>
  </si>
  <si>
    <t>15 Instabilidade política</t>
  </si>
  <si>
    <t>11 Não sabe (NS)</t>
  </si>
  <si>
    <t>11 Por causa do COVID-19</t>
  </si>
  <si>
    <t>16 senegal</t>
  </si>
  <si>
    <t>16 Conflito intercomunitário</t>
  </si>
  <si>
    <t>12 Outro motivo (saúde, família, etc.)</t>
  </si>
  <si>
    <t>17 Serra-Leoa</t>
  </si>
  <si>
    <t>17 Insegurança (banditismo, terrorismo)</t>
  </si>
  <si>
    <t>SE UTILIZA UM QUESTIONÁRIO PAPEL UTILIZAR OUTRO QUESTIONÁRIO CASO HAJA MAIS DE 15 MEMBROS</t>
  </si>
  <si>
    <t>13 Esquecido no inquérito de 2018/2019</t>
  </si>
  <si>
    <t>18 Togo</t>
  </si>
  <si>
    <t>18 Conflito armado / guerra</t>
  </si>
  <si>
    <t>Pessoa seguinte</t>
  </si>
  <si>
    <t>19 Outra África</t>
  </si>
  <si>
    <t>19 desastres naturais</t>
  </si>
  <si>
    <t>Não sabe (NS)</t>
  </si>
  <si>
    <t>20 outros países fora da África                                                                                                                                                                                                                                                                                                                                                                                                                                                                                                                                                                                              22 Inglaterra</t>
  </si>
  <si>
    <t>20 Outros (especifique)</t>
  </si>
  <si>
    <t xml:space="preserve">21 Portugal </t>
  </si>
  <si>
    <t>22 Inglaterra</t>
  </si>
  <si>
    <t>NOMES E APELIDOS</t>
  </si>
  <si>
    <t>CÓDIGO</t>
  </si>
  <si>
    <t>MÊS</t>
  </si>
  <si>
    <t>ANO</t>
  </si>
  <si>
    <t>DIA</t>
  </si>
  <si>
    <t>ANOS</t>
  </si>
  <si>
    <t>ID</t>
  </si>
  <si>
    <t>NÚMERO</t>
  </si>
  <si>
    <t xml:space="preserve">CÓDIGO </t>
  </si>
  <si>
    <t>FRANCOS CFA</t>
  </si>
  <si>
    <t>SECÇÃO 2: EDUCAÇÃO (INDIVÍDUOS COM IDADE IGUAL OU SUPERIOR A 3 ANOS)</t>
  </si>
  <si>
    <t>[NOME] é capaz de ler um pequeno texto nas seguintes línguas?</t>
  </si>
  <si>
    <t>[NOME] é capaz de escrever um pequeno texto nas seguintes línguas?</t>
  </si>
  <si>
    <t>[NOME] consegue entender um pequeno texto lido nos seguintes idiomas?</t>
  </si>
  <si>
    <t>[NOME] seguiu ou segue atualmente estudos numa escola formal?</t>
  </si>
  <si>
    <t>[NOME] vai começar a escola quando as coisas melhorarem?</t>
  </si>
  <si>
    <t>[NOME] frequentou uma escola não formal ou uma formação não formal?</t>
  </si>
  <si>
    <t>Que tipo de educação não formal [NOME] frequentou?</t>
  </si>
  <si>
    <t>Que idade tinha [NOME] quando entrou para a escola?</t>
  </si>
  <si>
    <t>[NOME] frequentou uma escola no ano letivo de 2019/2020?</t>
  </si>
  <si>
    <t>Quem dirigiu a escola frequentada por [NOME] no ano letivo de 2019/2020?</t>
  </si>
  <si>
    <t>Que resultado obteve [NOME] no ano letivo de 2019/2020?</t>
  </si>
  <si>
    <t>Por que razão [NOME] abandonou a escola durante o ano letivo?</t>
  </si>
  <si>
    <t>[NOME] frequenta uma escola no ano letivo de 2020/2021?</t>
  </si>
  <si>
    <t>O motivo pelo qual [NOME] não foi à escola está relacionado ao COVID-19?</t>
  </si>
  <si>
    <t>Como o COVID-19 mudou a educação de [NOME]?</t>
  </si>
  <si>
    <t>[NOME] pretende voltar para a escola?</t>
  </si>
  <si>
    <t>Qual a razão principal para [NOME] não ter andado na escola em 2020/2021?</t>
  </si>
  <si>
    <t xml:space="preserve">Qual é o nível de ensino frequentado por [NOME] no ano letivo de 2020/2021?
</t>
  </si>
  <si>
    <t>Qual é a área de estudos de [NOME]?</t>
  </si>
  <si>
    <t xml:space="preserve">Que classe frequenta [NOME] no nível declarado no ano letivo de 2020/2021?
</t>
  </si>
  <si>
    <t>[NOME] está satisfeito com o ensino recebido na escola?</t>
  </si>
  <si>
    <t>No contexto da sua escolaridade, [NOME] depara com algum dos problemas seguintes?</t>
  </si>
  <si>
    <t>Qui gère l'école que fréquente [NOM]?</t>
  </si>
  <si>
    <t>Quem dirige a escola frequentada por [NOME] no ano letivo de 2020/2021?</t>
  </si>
  <si>
    <t>Qual é o montante das contribuições para o ano letivo de 2020/2021?</t>
  </si>
  <si>
    <t>Qual é o montante das despesas de [NOME] com materiais (manuais, cadernos) para o ano letivo  de 2020/2021</t>
  </si>
  <si>
    <t>Qual é o montante das despesas para os demais materiais escolares para o ano letivo de 2020/2021?</t>
  </si>
  <si>
    <t>Qual é o montante das despesas de [NOME] com uniformes para o ano letivo de 2020/2021?</t>
  </si>
  <si>
    <t>Qual é o montante das despesas de [NOME] com cantina escolar para o ano letivo de 2020/2021?</t>
  </si>
  <si>
    <t>Qual é o montante das despesas de [NOME] com o transporte escolar para o ano letivo de 2020/2021?</t>
  </si>
  <si>
    <t>Qual é o montante das demais despesas escolares (curso de apoio ou reciclagem, etc.)?</t>
  </si>
  <si>
    <t>Qual é o montante da bolsa/subsídio que [NOME] recebeu nos últimos 12 meses?</t>
  </si>
  <si>
    <t xml:space="preserve">Qual é o nível de estudos mais elevado obtido por [NOME]? 
</t>
  </si>
  <si>
    <t>Qual era a área de estudos de [NOME]?</t>
  </si>
  <si>
    <t xml:space="preserve">Qual foi a última classe frequentada por [NOME] no nível declarado? 
</t>
  </si>
  <si>
    <t>Em que ano [NOME] frequentou a escola pela última vez?</t>
  </si>
  <si>
    <t>Qual é o diploma mais elevado obtido por [NOME]?</t>
  </si>
  <si>
    <t>"01 Muito jovem / Muito velho
02 Sem escola, escola muito longe
03 Recusa da família
04 Preferência por um trabalho
05 Trabalho de campo / pastoralismo
06 Trabalho doméstico
07 Quer se casar
08 É uma menina
09 Gravidez
10 Altas taxas de matrícula
11 Falta de recursos financeiros
12 Estudos inadequados
13 Estudos de pouco uso
14 Doente / aleijado
15 Estudos concluídos
16 Abandono escolar, fracasso escolar
17 Problema de certidão de nascimento
18 Outro (a ser especificado) "</t>
  </si>
  <si>
    <t xml:space="preserve">01 Demasiado jovem </t>
  </si>
  <si>
    <t>0 Medicina, farmácia, etc</t>
  </si>
  <si>
    <t xml:space="preserve">02 Inexistência de escola, escola demasiado distante
</t>
  </si>
  <si>
    <t>1 Obteve um emprego</t>
  </si>
  <si>
    <t>1 Não pode continuar estudando em outro lugar do país</t>
  </si>
  <si>
    <t>1 GOUVERNEMENT</t>
  </si>
  <si>
    <t xml:space="preserve"> 1 Governo</t>
  </si>
  <si>
    <t xml:space="preserve">1 Ciências exatas (matemática, físico-química, ciências da vida e da Terra) </t>
  </si>
  <si>
    <t>00 Nenhum</t>
  </si>
  <si>
    <t xml:space="preserve">Escrever 1 para SIM ou 2 para NÃO </t>
  </si>
  <si>
    <t>03 Recusa da família</t>
  </si>
  <si>
    <t>1 Governo</t>
  </si>
  <si>
    <t xml:space="preserve">Escrever 1 Para SIM Ou 2 Para NÃO </t>
  </si>
  <si>
    <t>2 Casou-se</t>
  </si>
  <si>
    <t>2 ORGANISATION RELIGIEUSE</t>
  </si>
  <si>
    <t xml:space="preserve"> 2 Gestão religiosa privada</t>
  </si>
  <si>
    <t>2 Artes, letras e ciências humanas</t>
  </si>
  <si>
    <t>01 EB (Ensino Básico 1º ciclo)</t>
  </si>
  <si>
    <t>nas casas correspondentes</t>
  </si>
  <si>
    <t>04 Preferência por um emprego</t>
  </si>
  <si>
    <t>2 Gestão religiosa privada</t>
  </si>
  <si>
    <t>nos lugares apropriados</t>
  </si>
  <si>
    <t>3 É rapariga</t>
  </si>
  <si>
    <t xml:space="preserve"> nas colunas correspondentes</t>
  </si>
  <si>
    <t>3 LE PRIVE</t>
  </si>
  <si>
    <t xml:space="preserve"> 3 Gestão privada não religiosa</t>
  </si>
  <si>
    <t>3 Técnicas de administração e gestão</t>
  </si>
  <si>
    <t>1. 1.º ano</t>
  </si>
  <si>
    <t>02 EB (Ensino Básico 2º ciclo)</t>
  </si>
  <si>
    <t>05 Lavoura/pastorícia</t>
  </si>
  <si>
    <t>01 Escola corânica</t>
  </si>
  <si>
    <t>3 Gestão privada não religiosa</t>
  </si>
  <si>
    <t>4 Gravidez</t>
  </si>
  <si>
    <t>1 Muito satisfeito</t>
  </si>
  <si>
    <t>4 LA COMMUNAUTE</t>
  </si>
  <si>
    <t xml:space="preserve">4 Técnicas de informáticas e industrial (Engenharia civil, mecânica, eletrónica e informática)
</t>
  </si>
  <si>
    <t>2. 2.º ano</t>
  </si>
  <si>
    <t>03 ES (Ensino Secundário 1º ciclo)</t>
  </si>
  <si>
    <t>Português</t>
  </si>
  <si>
    <t>Crioulo</t>
  </si>
  <si>
    <t xml:space="preserve">Outra língua </t>
  </si>
  <si>
    <t>Outra Língua</t>
  </si>
  <si>
    <t>06 Serviço doméstico</t>
  </si>
  <si>
    <t>4 Gestão internacional privada</t>
  </si>
  <si>
    <t>H</t>
  </si>
  <si>
    <t>F</t>
  </si>
  <si>
    <t>G</t>
  </si>
  <si>
    <t>5 Estudos demasiado difíceis</t>
  </si>
  <si>
    <t>2 Não pode continuar os seus estudos fora do país</t>
  </si>
  <si>
    <t xml:space="preserve">2 Satisfeito </t>
  </si>
  <si>
    <t>I</t>
  </si>
  <si>
    <t>9 AUTRES</t>
  </si>
  <si>
    <t>J</t>
  </si>
  <si>
    <t>K</t>
  </si>
  <si>
    <t>L</t>
  </si>
  <si>
    <t xml:space="preserve"> 4 Gestão internacional privada</t>
  </si>
  <si>
    <t>5 Direito e ciências jurídicas</t>
  </si>
  <si>
    <t>3. 3.º ano</t>
  </si>
  <si>
    <t>Colocar 9998 se NS (não sabe)</t>
  </si>
  <si>
    <t>04 ES (Ensino Secundário 2º ciclo)</t>
  </si>
  <si>
    <t>07 É rapariga</t>
  </si>
  <si>
    <r>
      <t>2 Não ►</t>
    </r>
    <r>
      <rPr>
        <b/>
        <sz val="9"/>
        <rFont val="Arial Narrow"/>
        <family val="2"/>
      </rPr>
      <t xml:space="preserve"> Secção 3</t>
    </r>
  </si>
  <si>
    <t>02 Formação profissional</t>
  </si>
  <si>
    <t>5 A Comunidade</t>
  </si>
  <si>
    <t>SMS</t>
  </si>
  <si>
    <t>Aplicativos  Mobile (WhatsApp, Facebook ...)</t>
  </si>
  <si>
    <t>Email</t>
  </si>
  <si>
    <t>Correio</t>
  </si>
  <si>
    <t>Telemóvel</t>
  </si>
  <si>
    <t>Visita do professor / gerência</t>
  </si>
  <si>
    <t>Fez lição de casa dada pelos professores</t>
  </si>
  <si>
    <t>Aplicativos educacionais usados ​​no computador/Telemóvel/Tablet</t>
  </si>
  <si>
    <t>Seguimento de programas educacionais na TV</t>
  </si>
  <si>
    <t>Seguimento de programas educacionais no rádio</t>
  </si>
  <si>
    <t>Estudou sozinho</t>
  </si>
  <si>
    <t>Ensinado pelos pais ou outro membro do agregado</t>
  </si>
  <si>
    <t>Ensinado por um tutor</t>
  </si>
  <si>
    <t>Outro (a ser especificado)</t>
  </si>
  <si>
    <t>6 Escola demasiado distante</t>
  </si>
  <si>
    <t>3 Pouco satisfeito</t>
  </si>
  <si>
    <t xml:space="preserve">Insuficiência de manuais/materiais </t>
  </si>
  <si>
    <t>Insuficiência de mesas, bancos e equipamentos</t>
  </si>
  <si>
    <t xml:space="preserve"> Absentismo dos professores/greve</t>
  </si>
  <si>
    <t>Ensino pouco satisfatório</t>
  </si>
  <si>
    <t>Excesso de pessoal</t>
  </si>
  <si>
    <t>Insuficiência de professores</t>
  </si>
  <si>
    <t>Falta de instalações sanitárias</t>
  </si>
  <si>
    <t>Frequência das contribuições</t>
  </si>
  <si>
    <t xml:space="preserve">Sala de aula em mau estado </t>
  </si>
  <si>
    <t xml:space="preserve"> Nenhum dispositivo para lavar as mãos com água e sabão</t>
  </si>
  <si>
    <t xml:space="preserve"> Uso não obrigatório de máscaras</t>
  </si>
  <si>
    <t xml:space="preserve"> Distanciamento não respeitado nas salas de aula</t>
  </si>
  <si>
    <t>ESCREVER ZERO SE A PESSOA NÃO TIVER RECEBIDO BOLSA NEM SUBSÍDIO</t>
  </si>
  <si>
    <t>6. Ciências Económicas</t>
  </si>
  <si>
    <t>4. 4.º ano</t>
  </si>
  <si>
    <t>05 ETP (Ensino Técnico/profissional)</t>
  </si>
  <si>
    <t>8 Propinas elevadas</t>
  </si>
  <si>
    <t>6 Outra (especificar)</t>
  </si>
  <si>
    <t>7 Falta de meios financeiros</t>
  </si>
  <si>
    <t>4 Nada satisfeito</t>
  </si>
  <si>
    <t xml:space="preserve"> 5 A Comunidade</t>
  </si>
  <si>
    <t>ESCREVER ZERO NO CASO DE UM MONTANTE NULO</t>
  </si>
  <si>
    <t>7. Outra (à especificar)</t>
  </si>
  <si>
    <t>5. 5.º ano</t>
  </si>
  <si>
    <t>06 EM (Ensino Médio)</t>
  </si>
  <si>
    <t>9 Falta de meios financeiros</t>
  </si>
  <si>
    <t>03 Curso de alfabetização</t>
  </si>
  <si>
    <t>5 Abandono durante o ano letivo</t>
  </si>
  <si>
    <t>8 Serviço doméstico</t>
  </si>
  <si>
    <t>3 Outro (a ser especificado)</t>
  </si>
  <si>
    <t xml:space="preserve"> 6 Outra (especificar)</t>
  </si>
  <si>
    <t>6. 6.º ano</t>
  </si>
  <si>
    <t>07 Licenciado</t>
  </si>
  <si>
    <t xml:space="preserve">2 Não </t>
  </si>
  <si>
    <t>10 Estudos inadequados</t>
  </si>
  <si>
    <t>9 Trabalho agrícola, guarda de rebanhos</t>
  </si>
  <si>
    <t>7. 7.º ano</t>
  </si>
  <si>
    <t>08 Pós graduação/Especialização</t>
  </si>
  <si>
    <t>11 Estudos pouco úteis</t>
  </si>
  <si>
    <t>04 Outra (aulas de línguas, etc.)</t>
  </si>
  <si>
    <t>5 EnsinoTécnico Profissional</t>
  </si>
  <si>
    <t>5 Ensino Técnico Profissional</t>
  </si>
  <si>
    <t>8. 8º ano</t>
  </si>
  <si>
    <t>09 Mestrado</t>
  </si>
  <si>
    <t>12 Doença/enfermidade</t>
  </si>
  <si>
    <t>►►Secção 3</t>
  </si>
  <si>
    <t xml:space="preserve">10 Violências, insegurança
</t>
  </si>
  <si>
    <t>6 Secundário 2 Geral</t>
  </si>
  <si>
    <t>9. 9º ano</t>
  </si>
  <si>
    <t>10 Doutorado</t>
  </si>
  <si>
    <t>13 Insegurança</t>
  </si>
  <si>
    <t>7 Médio (preparação diplomas nivel BAC+2)</t>
  </si>
  <si>
    <t>10. 10º ano</t>
  </si>
  <si>
    <t>14 Outra (especificar)</t>
  </si>
  <si>
    <t xml:space="preserve">11 COVID-19
</t>
  </si>
  <si>
    <t>15 Não começou devido a COVID-19</t>
  </si>
  <si>
    <t>12 Outros problemas de saúde</t>
  </si>
  <si>
    <t>13 Preferência por uma formação profissional</t>
  </si>
  <si>
    <t>14 Outro (a precisar)</t>
  </si>
  <si>
    <t>MONTANTE EM FRANCOS CFA</t>
  </si>
  <si>
    <t>SECÇÃO 3: SAÚDE GERAL</t>
  </si>
  <si>
    <t>[NOME] teve um problema de saúde, doença ou acidente durante os últimos 30 dias que não resultou em hospitalização?</t>
  </si>
  <si>
    <t>Qual foi o principal problema de saúde que [NOME] teve?</t>
  </si>
  <si>
    <t>O problema de saúde impediu [NOME] de exercer as suas atividades quotidianas normais?</t>
  </si>
  <si>
    <t>Durante quanto tempo a doença de [NOME] impediu o exercício das suas atividades quotidianas normais?</t>
  </si>
  <si>
    <t xml:space="preserve"> [NOME] foi examinado numa unidade de saúde (incluindo uma farmácia) ou por um curandeiro tradicional nos últimos 30 dias relativamente a esse problema de saúde?</t>
  </si>
  <si>
    <t>Qual foi o principal motivo pelo qual [NOME] não consultou?</t>
  </si>
  <si>
    <t>Onde [NOME] foi consultado pela primeira vez para este episódio de doença?</t>
  </si>
  <si>
    <t>Quem consultou [NOME] pela primeira vez por causa deste episódio de doença?</t>
  </si>
  <si>
    <t>[NOME] ficou satisfeito com o serviço recebido nesta primeira consulta?</t>
  </si>
  <si>
    <t xml:space="preserve">[NOME] teve problemas após a sua consulta?
</t>
  </si>
  <si>
    <t>Qual é a distância entre o domicílio de [NOME] e a localidade desta primeira consulta?</t>
  </si>
  <si>
    <r>
      <t xml:space="preserve">[NOME] consultou um serviço de saúde, ou curandeiro, nos últimos 3 meses </t>
    </r>
    <r>
      <rPr>
        <b/>
        <sz val="9"/>
        <rFont val="Arial Narrow"/>
        <family val="2"/>
      </rPr>
      <t>sem hospitalização (não considerar as consultas pré-natal)?</t>
    </r>
  </si>
  <si>
    <t>Qual foi o montante das despesas de consulta num médico de clínica geral, excetuando hospitalização, de [NOME] nos últimos 3 meses?</t>
  </si>
  <si>
    <t>Qual foi o montante das despesas de consulta num médico especialista, excetuando hospitalização, de [NOME] nos últimos 3 meses?</t>
  </si>
  <si>
    <t>Qual foi o montante das despesas de consulta num dentista de [NOME] nos últimos 3 meses?</t>
  </si>
  <si>
    <t>Qual foi o montante das despesas de consulta num curandeiro tradicional de [NOME] nos últimos 3 meses?</t>
  </si>
  <si>
    <t>Qual foi o montante das despesas com exames médicos e cuidados de saúde de [NOME], excetuando hospitalização, nos últimos 3 meses?</t>
  </si>
  <si>
    <t>Qual foi o custo dos medicamentos tradicionais fora da hospitalização para [NOME] durante os últimos 3 meses?</t>
  </si>
  <si>
    <t>Qual é o custo de medicamentos não hospitalares comprados em farmácias públicas para [NOME] durante os últimos 3 meses?</t>
  </si>
  <si>
    <t>Qual é o custo de medicamentos não hospitalares comprados em farmácias privadas para [NOME] durante os últimos 3 meses?</t>
  </si>
  <si>
    <t>[NOME] teve um problema de saúde nos últimos 12 meses que resultou em pelo menos uma hospitalização?</t>
  </si>
  <si>
    <t xml:space="preserve">Quantas vezes [NOME] foi hospitalizado nos últimos 12 meses?
</t>
  </si>
  <si>
    <t>Qual foi o último problema médico pelo qual [NOME] foi hospitalizado nos últimos 12 meses?</t>
  </si>
  <si>
    <t xml:space="preserve">Para o último problema de saúde que exigiu hospitalização nos últimos 12 meses, quantos dias [NOME] permaneceu no hospital?
Para o último problema de saúde que exigiu hospitalização nos últimos 12 meses, quantos dias [NAME] permaneceu no hospital?
</t>
  </si>
  <si>
    <t xml:space="preserve">Onde foi [NOME] hospitalizado por este último problema de saúde?
</t>
  </si>
  <si>
    <t>Qual foi o montante de despesas de hospitalização para este último problema de saúde?</t>
  </si>
  <si>
    <t>[NOME] incorreu em despesas de transporte de saúde (ambulâncias, veículos médicos especializados, aluguel de táxi, motocarro)</t>
  </si>
  <si>
    <t>Qual é o valor gasto?</t>
  </si>
  <si>
    <t>[NOME] incorreu em despesas com dispositivos médicos terapêuticos, como muletas, cadeira de rodas, prótese dentária, óculos graduados, etc. nos últimos 12 meses?</t>
  </si>
  <si>
    <t>Qual foi o montante das despesas com lentes de correção e armação de óculos nos últimos 12 meses?</t>
  </si>
  <si>
    <r>
      <t>Qual foi o montante despendido nos</t>
    </r>
    <r>
      <rPr>
        <b/>
        <sz val="9"/>
        <rFont val="Arial Narrow"/>
        <family val="2"/>
      </rPr>
      <t xml:space="preserve"> últimos 12 meses</t>
    </r>
    <r>
      <rPr>
        <sz val="9"/>
        <rFont val="Arial Narrow"/>
        <family val="2"/>
      </rPr>
      <t xml:space="preserve"> com muletas, cadeiras de rodas ou veículo para inválidos com ou sem motor, próteses dentárias, próteses auditivas ou outros dispositivos terapêuticos e ortopédicos?</t>
    </r>
  </si>
  <si>
    <t xml:space="preserve"> [NOME] incorreu em despesas de vacinação, circuncisão, controlo geral de saúde (check-up) nos últimos 12 meses?</t>
  </si>
  <si>
    <t>Qual foi o montante das despesas de vacinação?</t>
  </si>
  <si>
    <t>Qual foi o montante das despesas de circuncisão?</t>
  </si>
  <si>
    <t>Qual foi o montante das despesas do controlo geral de saúde (check-up)?</t>
  </si>
  <si>
    <t>[NOME] incorreu em algum custo para testes de COVID-19 nos últimos 12 meses?</t>
  </si>
  <si>
    <t>Quanto custam os testes do COVID-19?</t>
  </si>
  <si>
    <t>[NOME] está coberto por algum seguro médico?</t>
  </si>
  <si>
    <t>Qual é a taxa de reembolso?</t>
  </si>
  <si>
    <t>Quem patrocina/financia o seguro médico de [NOME]?</t>
  </si>
  <si>
    <t>Qual é a forma de reembolso?</t>
  </si>
  <si>
    <t xml:space="preserve">[NOME] beneficia de algum encargo  particular (Mutualismo e consulta gratuita)?
          </t>
  </si>
  <si>
    <t>De que encargo de saúde se trata?</t>
  </si>
  <si>
    <t>[NOME] dorme habitualmente debaixo de um mosquiteiro?</t>
  </si>
  <si>
    <t xml:space="preserve">[NOME] dormiu de baixo de um mosquiteiro na noite passada? Se Sim este mosquiteiro é impregnado ou simples </t>
  </si>
  <si>
    <t>À exceção do mosquiteiro, qual é o meio principall que  [NOME] utiliza para se proteger contra as picadas dos mosquitos?</t>
  </si>
  <si>
    <t>[NOME] tem dificuldades de visão mesmo com óculos?</t>
  </si>
  <si>
    <t>[NOME] tem dificuldades de audição mesmo com um aparelho auditivo?</t>
  </si>
  <si>
    <t>[NOME] tem dificuldade em andar ou subir escadas?</t>
  </si>
  <si>
    <t>[NOME] tem dificuldades de memória ou concentração?</t>
  </si>
  <si>
    <t>[NOME] tem dificuldade em executar tarefas como lavar-se ou vestir-se?</t>
  </si>
  <si>
    <t>[NOME] tem dificuldade em comunicar ou fazer-se entender na sua língua habitual?</t>
  </si>
  <si>
    <r>
      <rPr>
        <b/>
        <sz val="9"/>
        <rFont val="Arial Narrow"/>
        <family val="2"/>
      </rPr>
      <t>Atenção: As perguntas 3.47 a 3.51 são feitas apenas para mulheres de 12 a 49 anos</t>
    </r>
    <r>
      <rPr>
        <sz val="9"/>
        <rFont val="Arial Narrow"/>
        <family val="2"/>
      </rPr>
      <t xml:space="preserve">                Nos últimos 12 meses, você teve um bebê?
[Para mulheres com idade entre 12 e 49 anos]</t>
    </r>
  </si>
  <si>
    <t>Qual foi o custo de parto?</t>
  </si>
  <si>
    <t>Você está grávida atualmente?</t>
  </si>
  <si>
    <t>Quantas consultas pré-natais você fez durante a gravidez ou já fez durante esta gravidez?</t>
  </si>
  <si>
    <t>Quanto foi gasto em cada consulta pré-natal?</t>
  </si>
  <si>
    <r>
      <rPr>
        <b/>
        <sz val="9"/>
        <rFont val="Arial Narrow"/>
        <family val="2"/>
      </rPr>
      <t>Inquiridor: As perguntas 3.52 e 3.53 são feitas apenas para crianças menores de 5 anos</t>
    </r>
    <r>
      <rPr>
        <sz val="9"/>
        <rFont val="Arial Narrow"/>
        <family val="2"/>
      </rPr>
      <t xml:space="preserve">         [NOME] tomou todas as vacinas obrigatórias (BCG, DTCoq1, DTCoq2, DTCoq3, Vitamina A, Polyo, RRO)?
[Pour les enfants de moins de 5 ans]
</t>
    </r>
  </si>
  <si>
    <t>Qual foi o principal motivo pelo qual [NOME] não foi vacinado?</t>
  </si>
  <si>
    <t>1 febre / malária
2 diarréia
3 Acidente / Lesão
4 problema dentário
5 problema de pele
6 doença ocular
7 Problema de tensão
8 febre tifóide
9 Problema de estômago (úlcera)
10 dor de garganta
11 tosse, resfriado, gripe
12 Diabetes
13 meningite
14 COVID-19
15 Parto / com
complicações relacionadas à gravidez
16 Dor / fadiga
17 Anemia / anemia falciforme
18 Outros "</t>
  </si>
  <si>
    <t>Escrever 1 para SIM e 2 para NÃO</t>
  </si>
  <si>
    <t>1 Não é necessário
2 Muito caro
3 Muito longe
4 Automedicação
5 Sem confiança
6 Medo do resultado / tratamento
7 Recusa
8 Falta de dinheiro
9 Não satisfeito na última consulta
10 Medo de contrair COVID-19
11 Serviço especializado não disponível
12 Falta de pessoal
13 Esperando por uma consulta
14 Outros a serem especificados</t>
  </si>
  <si>
    <t>Público</t>
  </si>
  <si>
    <t>Hospital nacional</t>
  </si>
  <si>
    <t xml:space="preserve">1. Mutualismo de saúde </t>
  </si>
  <si>
    <t>Hospital regional (incluíndo hospital de policia, militar)</t>
  </si>
  <si>
    <t>1 Médico especialista</t>
  </si>
  <si>
    <t>Centro de saúde urbano</t>
  </si>
  <si>
    <t xml:space="preserve">2 Médico de clínica geral </t>
  </si>
  <si>
    <t>ESTABELECIMENTO EM MÁS CONDIÇÕES DE HIGIENE</t>
  </si>
  <si>
    <t>LONGA ESPERA</t>
  </si>
  <si>
    <t>PESSOAL NÃO QUALIFICADO</t>
  </si>
  <si>
    <t>DEMASIADO CARO</t>
  </si>
  <si>
    <t>FALTA DE MEDICAMENTO</t>
  </si>
  <si>
    <t>TRATAMENTO INEFICAZ</t>
  </si>
  <si>
    <t>ACOLHIMENTO DEFICIENTE</t>
  </si>
  <si>
    <t>AUSÊNCIA DO PESSOAL</t>
  </si>
  <si>
    <t xml:space="preserve">OUTRO </t>
  </si>
  <si>
    <t>SEM DISPOSITIVO PARA LAVAR AS MÃOS (SABÃO, GEL)</t>
  </si>
  <si>
    <t>NÃO RESPEITO DAS MEDIDAS DE DISTANCIAÇÃO E USO DE MÁSCARAS</t>
  </si>
  <si>
    <t>1. Menos de 1 km</t>
  </si>
  <si>
    <t>1 Febre / malária
2 Diarréia
3 Acidente / Lesão
4 Problema dentário
5 Problema de pele
6 Doença ocular
7 Problema de tensão
8 Febre tifóide
9 Problema de estômago/barriga (úlcera)
10 Dor de garganta
11 Tosse, resfriado, gripe
12 Diabetes
13 Meningite
14 COVID-19
15 Parto / com
complicações relacionadas à gravidez
16 Dor / fadiga
17 Anemia / anemia falciforme
18 Outros "</t>
  </si>
  <si>
    <t>1 Privado (individual)</t>
  </si>
  <si>
    <t>1 Adiantamento de despesas</t>
  </si>
  <si>
    <t>1 Inseticidas</t>
  </si>
  <si>
    <t>Menos de uma semana</t>
  </si>
  <si>
    <t>Centro de saúde rural</t>
  </si>
  <si>
    <t xml:space="preserve">3 Dentista </t>
  </si>
  <si>
    <t>2. Entre 1 e 2 km</t>
  </si>
  <si>
    <t>Publico</t>
  </si>
  <si>
    <t>2 Estado/
programa</t>
  </si>
  <si>
    <t xml:space="preserve">2. Programa de consulta gratuito de crianças menores de 05 anos
</t>
  </si>
  <si>
    <t>2.Cremes inseticidas</t>
  </si>
  <si>
    <t>Unidade sanitária rural</t>
  </si>
  <si>
    <t xml:space="preserve">4 Enfermeiro(a) </t>
  </si>
  <si>
    <t>3. Entre 2 e 5 km</t>
  </si>
  <si>
    <t>1 Hospital nacional</t>
  </si>
  <si>
    <t>1 Ainda não atingiu o limite de idade
2 Sem campanha de vacinação
3 Não sabe da vacinação
4 Sem estrutura de saúde
5 Não quer uma vacina "</t>
  </si>
  <si>
    <t>Outro Serviço de saúde</t>
  </si>
  <si>
    <t xml:space="preserve">5 Parteira </t>
  </si>
  <si>
    <t>4. Entre 5 e 15 km</t>
  </si>
  <si>
    <t>2 Hospital regional (incluíndo hospital de policia, militar)</t>
  </si>
  <si>
    <t>Se os testes COVID-19 forem gratuitos, escreva 00
Se NA escrever 9999</t>
  </si>
  <si>
    <t>Entre uma e duas semanas</t>
  </si>
  <si>
    <t>6 Enfermeiro/a auxiliar</t>
  </si>
  <si>
    <t>5. 15 km ou mais</t>
  </si>
  <si>
    <t>3 Centro de saúde urbano</t>
  </si>
  <si>
    <t xml:space="preserve">3 Programa de mulheres grávidas </t>
  </si>
  <si>
    <t>2 Não ►Pessoa seguinte</t>
  </si>
  <si>
    <t>Privado</t>
  </si>
  <si>
    <t xml:space="preserve">7 Farmacêutico
 </t>
  </si>
  <si>
    <t>4 Centro de saúde rural</t>
  </si>
  <si>
    <t>Hospital/clínica privada</t>
  </si>
  <si>
    <t xml:space="preserve">8 Madrona </t>
  </si>
  <si>
    <t>5 Posto de saúde</t>
  </si>
  <si>
    <t>4. Programa gratuito de idosos</t>
  </si>
  <si>
    <t xml:space="preserve">Mais de duas semanas </t>
  </si>
  <si>
    <t>Consultório médico / odontológico / oftalmológico</t>
  </si>
  <si>
    <t xml:space="preserve">9 Agente tecnico de Saúde </t>
  </si>
  <si>
    <t>6 Outro Serviço de saúde publico</t>
  </si>
  <si>
    <t>1 Mosquiteiro impregnado</t>
  </si>
  <si>
    <t xml:space="preserve">10 Outro pessoal de saúde </t>
  </si>
  <si>
    <t>Consultório/ Sala de tratamento</t>
  </si>
  <si>
    <t>11 Curandeiro/Marabo</t>
  </si>
  <si>
    <t xml:space="preserve">5. Seguro de saúde privado  </t>
  </si>
  <si>
    <t xml:space="preserve">Farmácia </t>
  </si>
  <si>
    <t>7 Hospital/clínica privada</t>
  </si>
  <si>
    <t xml:space="preserve">Clinica da empresa, outra privada ou ONG </t>
  </si>
  <si>
    <t>8 Consultório médico/dentário/oftamologia</t>
  </si>
  <si>
    <t>Em caso de hospitalização gratuita, escrever 00</t>
  </si>
  <si>
    <t>3 Estado é a entidade patronal</t>
  </si>
  <si>
    <t>2 Terceiro pagador</t>
  </si>
  <si>
    <t>6. Programa de apoio nutricional a crianças menores de 5 anos</t>
  </si>
  <si>
    <t>2 Mosquiteiro simples</t>
  </si>
  <si>
    <t>3. Espirais inseticidas</t>
  </si>
  <si>
    <t>1 Não, nenhuma dificuldade</t>
  </si>
  <si>
    <t>Em caso de consulta gratuita, escrever 00</t>
  </si>
  <si>
    <t>Em caso de exames gratuitos, escrever 00</t>
  </si>
  <si>
    <r>
      <t xml:space="preserve">Se os medicamentos forem recebidos gratuitamente, escreva 00
</t>
    </r>
    <r>
      <rPr>
        <sz val="9"/>
        <rFont val="Arial Narrow"/>
        <family val="2"/>
      </rPr>
      <t>Se NA escrever 9999</t>
    </r>
  </si>
  <si>
    <r>
      <t>Se os medicamentos forem recebidos gratuitamente, escreva 00
S</t>
    </r>
    <r>
      <rPr>
        <sz val="9"/>
        <rFont val="Arial Narrow"/>
        <family val="2"/>
      </rPr>
      <t>e NA escrever 9999</t>
    </r>
  </si>
  <si>
    <t>9 Sala de tratamento</t>
  </si>
  <si>
    <t>Em caso de dispositivos recebidos gratuitamente, escrever 00</t>
  </si>
  <si>
    <t>Em caso de vacinação gratuita, Escrever 00</t>
  </si>
  <si>
    <t>Em caso de circuncisão gratuita, Escrever 00</t>
  </si>
  <si>
    <t>Em caso de check-up gratuito, Escrever 00</t>
  </si>
  <si>
    <t>4 Entidade patronal</t>
  </si>
  <si>
    <t>4. Redes nas janelas</t>
  </si>
  <si>
    <t>No curandeiro/médico tradicional</t>
  </si>
  <si>
    <t>10 Clinica da empresa, outra privada ou ONG</t>
  </si>
  <si>
    <t>5 Outro (especificar)</t>
  </si>
  <si>
    <t>3 Ambos</t>
  </si>
  <si>
    <t>2 Sim, alguma dificuldade</t>
  </si>
  <si>
    <t>2 Não ►(3.05)</t>
  </si>
  <si>
    <t xml:space="preserve"> Consulta ao domicílio</t>
  </si>
  <si>
    <t>11 No curandeiro/matrona/médico tradicional</t>
  </si>
  <si>
    <t>6 Nada</t>
  </si>
  <si>
    <t>3. Não</t>
  </si>
  <si>
    <t>3 Sim, muita dificuldade</t>
  </si>
  <si>
    <t xml:space="preserve"> 1 Sim►(3.07)</t>
  </si>
  <si>
    <t xml:space="preserve"> 2 Não </t>
  </si>
  <si>
    <t>Se NA escrever 9999</t>
  </si>
  <si>
    <t>4 É totalmente incapaz</t>
  </si>
  <si>
    <t>5 Não abrangido (menos de 5 anos)</t>
  </si>
  <si>
    <t>PERCENTAGEM</t>
  </si>
  <si>
    <t>NUMERO</t>
  </si>
  <si>
    <t>Número</t>
  </si>
  <si>
    <t>01</t>
  </si>
  <si>
    <t>02</t>
  </si>
  <si>
    <t>SECÇÃO 4: EMPREGO</t>
  </si>
  <si>
    <t>PARTE A: SITUAÇÃO RELACIONADA COM A ATIVIDADE (INDIVÍDUOS COM IDADE IGUAL OU SUPERIOR A 6 ANOS)</t>
  </si>
  <si>
    <t>Código ID do respondente</t>
  </si>
  <si>
    <t>Nos últimos 7 dias, quantas horas [NOME] dedicou a fazer compras no mercado para o seu próprio agregado sem remuneração?</t>
  </si>
  <si>
    <t>Nos últimos 7 dias, quantas horas [NOME] passou a cozinhar e a lavar a louça para o seu próprio agregado sem remuneração?</t>
  </si>
  <si>
    <t>Nos últimos 7 dias, quantas horas [NOME] lavou roupa para  o seu próprio agregado sem remuneração?</t>
  </si>
  <si>
    <t>Durante os últimos 7 dias, quantas horas [NOME] passou a cuidar de crianças, idosos ou enfermos para o seu próprio agregado sem remuneração?</t>
  </si>
  <si>
    <t>Nos últimos 7 dias, quantas horas [NOME] dedicou a tarefas domésticas para o seu próprio agregado sem remuneração?</t>
  </si>
  <si>
    <t>Nos últimos 7 dias, quantas horas [NOME] dedicou a cuidar de crianças ou de idosos para o seu próprio agregado sem remuneração?</t>
  </si>
  <si>
    <t>Nos últimos 7 dias, quanto tempo [NOME] gastou ajudando as crianças a revisarem as aulas?</t>
  </si>
  <si>
    <t>Nos últimos 7 dias, [NOME] trabalhou pelo menos uma hora num campo ou jardim de sua propriedade ou [NOME] criou animais, praticou pesca ou caça por conta própria?</t>
  </si>
  <si>
    <t>Nos últimos 7 dias, [NOME] trabalhou pelo menos uma hora, com remuneração (em natureza/produto ou em dinheiro), numa loja, numa atividade de transformação ou num serviço comercial por conta própria ou por conta de outro membro do agregado familiar? Por exemplo, como artesão, comerciante ou advogado, médico ou outra atividade independente?</t>
  </si>
  <si>
    <t>Nos últimos 7 dias, [NOME] trabalhou pelo menos uma hora numa empresa, para o Estado, para um patrão ou para qualquer outra pessoa que não seja membro do seu agregado familiar? (mesmo a tempo parcial ou ocasionalmente)</t>
  </si>
  <si>
    <t>Nos últimos 7 dias, [NOME] trabalhou pelo menos uma hora como aprendiz ou estagiário com remuneração (em Natureza/produto ou em dinheiro?</t>
  </si>
  <si>
    <t>Dentre as respostas às questões 4.06, 4.07, 4.08, 4.09 há alguma afirmativa (CÓDIGO 1)?</t>
  </si>
  <si>
    <t>Mesmo que  [NOME] não tenha trabalhado nos últimos 7 dias, exerce alguma ocupação que devesse ter exercido nesses últimos 7 dias?</t>
  </si>
  <si>
    <t>Por que [NOME] não trabalhou nos últimos 7 dias?</t>
  </si>
  <si>
    <t>Declarou que não teve nenhuma atividade nos últimos 7 dias, trabalhou num campo, jardim, para outro membro de agregado sem remuneração?</t>
  </si>
  <si>
    <t xml:space="preserve">Declarou que não realizou nenhuma atividade durante os últimos 7 dias,  no entanto, trabalhou numa empresa, atividade de transformação, atividade de serviço para um outro membro do agregado sem remuneração? </t>
  </si>
  <si>
    <t>[NOME] procurou um emprego remunerado nos últimos 30 dias?</t>
  </si>
  <si>
    <t>Como [NOME] consegue se sustentar principalmente?</t>
  </si>
  <si>
    <t>Qual foi o principal motivo de [NOME] não ter procurado trabalho nos últimos 30 dias?</t>
  </si>
  <si>
    <t>Em que ramo de atividade [NOME] trabalhou principalmente?</t>
  </si>
  <si>
    <t>Qual era a categoria socioprofissional de [NOME]?</t>
  </si>
  <si>
    <t>Qual era o setor institucional de [NOME]?</t>
  </si>
  <si>
    <t>Quando (NOME) estará disponível para ter um emprego?</t>
  </si>
  <si>
    <t>Há quantos meses [NOME] está desempregado?</t>
  </si>
  <si>
    <t>Há quantos meses  anda à procura de emprego?</t>
  </si>
  <si>
    <t xml:space="preserve"> Porque [NOME] está a procura de um emprego?</t>
  </si>
  <si>
    <t>[NOME] perdeu o emprego devido ao COVID-19?</t>
  </si>
  <si>
    <t>Por meio de quais canais [NOME] está a procurar emprego?</t>
  </si>
  <si>
    <t>Que tipo de emprego procura [NOME]?</t>
  </si>
  <si>
    <t xml:space="preserve">Para que quantia mínima mensal NOME está disponível para emprego?  </t>
  </si>
  <si>
    <t>Que emprego exerceu [NOME] a título principal e a título secundário nos últimos 12 meses?</t>
  </si>
  <si>
    <t>(NOME) está disponível para aceitar um trabalho imediatamente?</t>
  </si>
  <si>
    <t>1 recebe uma pensão</t>
  </si>
  <si>
    <t>1 Licença, férias</t>
  </si>
  <si>
    <t>2 Recebe aluguéis / anuidades</t>
  </si>
  <si>
    <t>1 Muito velho</t>
  </si>
  <si>
    <t>ASSALARIADO</t>
  </si>
  <si>
    <t>2 Licença maternidade</t>
  </si>
  <si>
    <t>3 Recebe uma concessão / transferência</t>
  </si>
  <si>
    <t>2 Aposentados</t>
  </si>
  <si>
    <t xml:space="preserve">Escrever 1 para SIM e 2 para NÃO </t>
  </si>
  <si>
    <r>
      <rPr>
        <b/>
        <sz val="9"/>
        <rFont val="Arial Narrow"/>
        <family val="2"/>
      </rPr>
      <t xml:space="preserve">1 </t>
    </r>
    <r>
      <rPr>
        <sz val="9"/>
        <rFont val="Arial Narrow"/>
        <family val="2"/>
      </rPr>
      <t>Agricultura, pecuária, caça, pesca por conta própria ou do agregado familiar</t>
    </r>
  </si>
  <si>
    <t>3 Paragem provisória por conta própria</t>
  </si>
  <si>
    <t>4 Vive da sua poupança</t>
  </si>
  <si>
    <t>3 Não quer trabalhar ► (4.27)</t>
  </si>
  <si>
    <t>1 Agricultura, Pecuária, Pesca ...</t>
  </si>
  <si>
    <t xml:space="preserve">1 Imediatamente </t>
  </si>
  <si>
    <t xml:space="preserve"> nas casas correspondentes</t>
  </si>
  <si>
    <t>1 Assalariado público</t>
  </si>
  <si>
    <t>5 Vive da produção de suas colheitas</t>
  </si>
  <si>
    <t xml:space="preserve">  Se Modalidades 4-14 ► (4.19)</t>
  </si>
  <si>
    <t>2 Dentro de 15 dias</t>
  </si>
  <si>
    <t>1 Perda do emprego anterior</t>
  </si>
  <si>
    <t>2 Assalariado privado</t>
  </si>
  <si>
    <t>4 Licença médica</t>
  </si>
  <si>
    <t>6 vidas de transferências de alimentos grátis</t>
  </si>
  <si>
    <t>4 Muito jovem</t>
  </si>
  <si>
    <t>3 Entre 15 dias e um mês</t>
  </si>
  <si>
    <t>Relações pessoais, parentes</t>
  </si>
  <si>
    <t>Concurso, junto dos empregadores</t>
  </si>
  <si>
    <t>Pequenos anuncios par Radio, TV, Journal, Internet</t>
  </si>
  <si>
    <t>Agência Nacional de Promoção de Emprego</t>
  </si>
  <si>
    <t>Agência de emprego</t>
  </si>
  <si>
    <t>Iniciativa pessoal (criar o seu próprio negócio)</t>
  </si>
  <si>
    <t>Outro</t>
  </si>
  <si>
    <r>
      <rPr>
        <b/>
        <sz val="9"/>
        <rFont val="Arial Narrow"/>
        <family val="2"/>
      </rPr>
      <t>2</t>
    </r>
    <r>
      <rPr>
        <sz val="9"/>
        <rFont val="Arial Narrow"/>
        <family val="2"/>
      </rPr>
      <t xml:space="preserve"> Empresa em nome individual não agrícola por conta própria</t>
    </r>
  </si>
  <si>
    <t>5 Em greve</t>
  </si>
  <si>
    <t>5 Aluno / Aluno</t>
  </si>
  <si>
    <t>4 Empresa individual</t>
  </si>
  <si>
    <t>2 Procura o primeiro emprego</t>
  </si>
  <si>
    <t>6 Encerramento ou suspensão devido a COVID-19</t>
  </si>
  <si>
    <t>7 Esta sob a responsabilidade da família</t>
  </si>
  <si>
    <t>6 Dona de casa</t>
  </si>
  <si>
    <t>3 Mais de um mês</t>
  </si>
  <si>
    <t>Se for Menos de um mês, Escrever 0</t>
  </si>
  <si>
    <r>
      <rPr>
        <b/>
        <sz val="9"/>
        <rFont val="Arial Narrow"/>
        <family val="2"/>
      </rPr>
      <t>3</t>
    </r>
    <r>
      <rPr>
        <sz val="9"/>
        <rFont val="Arial Narrow"/>
        <family val="2"/>
      </rPr>
      <t xml:space="preserve"> Assalariado público ou privado</t>
    </r>
  </si>
  <si>
    <t>8 Mendiga</t>
  </si>
  <si>
    <t>7 Doença (contaminada com COVID-19)</t>
  </si>
  <si>
    <t>4 construção</t>
  </si>
  <si>
    <t>5 empresas associativas</t>
  </si>
  <si>
    <t>7. Outra suspensão temporária</t>
  </si>
  <si>
    <t>9 Outro (a ser especificado)</t>
  </si>
  <si>
    <t>8 Outras doenças</t>
  </si>
  <si>
    <t>5 Indiferente</t>
  </si>
  <si>
    <r>
      <rPr>
        <b/>
        <sz val="9"/>
        <rFont val="Arial Narrow"/>
        <family val="2"/>
      </rPr>
      <t>4</t>
    </r>
    <r>
      <rPr>
        <sz val="9"/>
        <rFont val="Arial Narrow"/>
        <family val="2"/>
      </rPr>
      <t xml:space="preserve"> Trabalho ocasional ou a tempo parcial</t>
    </r>
  </si>
  <si>
    <t>8 Em formação ou estágio</t>
  </si>
  <si>
    <t>9 Deficiente</t>
  </si>
  <si>
    <t>6 Organização Internacional / ONG</t>
  </si>
  <si>
    <t>10 Á espera para começar o seu próprio negócio</t>
  </si>
  <si>
    <t>7 Restauração, hotel</t>
  </si>
  <si>
    <r>
      <rPr>
        <b/>
        <sz val="9"/>
        <rFont val="Arial Narrow"/>
        <family val="2"/>
      </rPr>
      <t xml:space="preserve">5 </t>
    </r>
    <r>
      <rPr>
        <sz val="9"/>
        <rFont val="Arial Narrow"/>
        <family val="2"/>
      </rPr>
      <t xml:space="preserve">Aprendiz </t>
    </r>
  </si>
  <si>
    <t>11 Á Espera por uma resposta a um pedido de emprego</t>
  </si>
  <si>
    <t>8 Artes e entretenimento</t>
  </si>
  <si>
    <t xml:space="preserve">1  Sim </t>
  </si>
  <si>
    <t>►► (4.29), PARTE B</t>
  </si>
  <si>
    <t>12 Falta de emprego</t>
  </si>
  <si>
    <t>7 Agregado familiar</t>
  </si>
  <si>
    <t>2  Não ► Secção 5</t>
  </si>
  <si>
    <t>(Atenção: Os dois empregos podem ter o mesmo código, por exemplo, dois empregos assalariados)</t>
  </si>
  <si>
    <t xml:space="preserve">1    Sim </t>
  </si>
  <si>
    <t xml:space="preserve">1 Sim </t>
  </si>
  <si>
    <t>13 Não sabe  como procurar</t>
  </si>
  <si>
    <t>10 NS</t>
  </si>
  <si>
    <t>8 NS</t>
  </si>
  <si>
    <t>2    Não</t>
  </si>
  <si>
    <t>14 Desemprego sazonal</t>
  </si>
  <si>
    <t>15 Incapaz de procurar devido ao COVID-19</t>
  </si>
  <si>
    <t>16 Outros (a ser especificado)</t>
  </si>
  <si>
    <t>HORAS</t>
  </si>
  <si>
    <t>PRINCIPAL</t>
  </si>
  <si>
    <t>SECUNDÁRIO</t>
  </si>
  <si>
    <t>PARTE B: B  EMPREGO PRINCIPAL DURANTE OS ÚLTIMOS 12 MESES (INDIVÍDUOS COM IDADE IGUAL OU SUPERIOR A 6 ANOS)</t>
  </si>
  <si>
    <t xml:space="preserve"> Gostaria de lhe fazer algumas perguntas sobre o emprego principal que ocupou nos últimos 12 meses; trata-se do emprego ao qual dedica habitualmente mais tempo exercido nos últimos 12 meses. Descreva por favor o emprego ou a profissão que [NOME] exerceu nos últimos 12 meses.  O que fez no âmbito deste emprego?</t>
  </si>
  <si>
    <t>Qual é a atividade da empresa em que [NOME] esteve empregado ou que produtos (serviços) fabrica (fornece)?</t>
  </si>
  <si>
    <t>Qual é o principal empregador de [NOME] neste emprego?</t>
  </si>
  <si>
    <t>Quantos meses [NOME] exerceu este emprego nos últimos 12 (incluindo férias pagas)?
Se menos de 1 mês, escrever 0</t>
  </si>
  <si>
    <t xml:space="preserve"> [NOME] beneficia de férias pagas?  </t>
  </si>
  <si>
    <t xml:space="preserve">Quantos dias de férias anuais [NOME] gozou nos últimos 12 meses? </t>
  </si>
  <si>
    <t xml:space="preserve"> [NOME] beneficia de baixa por doença?  </t>
  </si>
  <si>
    <t>Quantos dias por mês [NOME] dedica habitualmente a este emprego?</t>
  </si>
  <si>
    <t>Quantas horas por dia [NOME] dedica habitualmente a este emprego?</t>
  </si>
  <si>
    <t xml:space="preserve"> [NOME] contribui para o INSS (Instituto Nacional de Segurança Social) ou para o Fundo Nacional de Reformas no âmbito deste emprego?
</t>
  </si>
  <si>
    <t>Qual é a categoria socioprofissional de [NOME] neste emprego?</t>
  </si>
  <si>
    <t>A empresa tem contabilidade formal?</t>
  </si>
  <si>
    <t>A empresa tem número de contribuinte ou identificação fiscal (NIF)</t>
  </si>
  <si>
    <t xml:space="preserve">[NOME] beneficia de licença de maternidade/paternidade?  </t>
  </si>
  <si>
    <t>Qual é o número de dias de licença de maternidade/paternidade regulamentar?</t>
  </si>
  <si>
    <t>[NOME] tem um recibo de ordenado?</t>
  </si>
  <si>
    <t>Qual foi o salário de [NOME] neste emprego (para o período de tempo considerado)?</t>
  </si>
  <si>
    <t>[NOME] beneficia de prémio no âmbito deste emprego?</t>
  </si>
  <si>
    <t xml:space="preserve">Em quanto avalia os prémios (apenas aqueles que não estão incluídos no salário)? </t>
  </si>
  <si>
    <t>[NOME] beneficia de outras regalias (subsídio de transporte, subsídio de alojamento, etc. que não alimentação) não incluídas no salário no âmbito deste emprego?</t>
  </si>
  <si>
    <t xml:space="preserve">Em quanto avalia as regalias (apenas aquelas que não estão incluídas no salário)? </t>
  </si>
  <si>
    <t>Recebe alimentação no âmbito deste emprego?</t>
  </si>
  <si>
    <t>Em quanto avalia esta alimentação?</t>
  </si>
  <si>
    <t>Quem controla o rendimento ligado a este trabalho?</t>
  </si>
  <si>
    <t>[NOME] tinha um emprego remunerado antes dos acontecimentos do COVID-19, ou seja, antes de março de 2020?</t>
  </si>
  <si>
    <t>[NOME] chegou a perder o emprego durante o período da pandemia COVID-19, ou seja, de Março de 2020 a Março de 2022?</t>
  </si>
  <si>
    <t>Por quanto tempo [NOME] ficou sem trabalho durante o período da crise da Covid-19, ou seja, de Março de 2020 a Março de 2022?
UNIDADE DE TEMPO
1 POR SEMANA
2 DUAS SEMANAS
3 MESES</t>
  </si>
  <si>
    <t>Como o tempo gasto neste trabalho foi afetado?</t>
  </si>
  <si>
    <t>Quanto tempo durou essa situação?
SE A ALTERAÇÃO CONTINUAR ATÉ A DATA, INSERIR 98
UNIDADE DE TEMPO
1 POR SEMANA
2 DUAS SEMANAS
3 MESES</t>
  </si>
  <si>
    <t>Como o salário, benefícios e / ou benefícios deste trabalho de [NOME] foram afetados pelo COVID-19?</t>
  </si>
  <si>
    <t>Quanto tempo durou essa situação?
SE A MUDANÇA CONTINUAR ATÉ A DATA, INSERIR 98
UNIDADE DE TEMPO
1 POR SEMANA
2 DUAS SEMANAS
3 MESES</t>
  </si>
  <si>
    <t xml:space="preserve">Além do emprego principal que acaba de ser descrito, [NOME] exerceu algum emprego secundário nos últimos 12 meses? </t>
  </si>
  <si>
    <t>[NOME] está pronto para fazer algum trabalho extra nas próximas 4 semanas?</t>
  </si>
  <si>
    <t>[NOME] teve um trabalho paralelo que normalmente faz, mas não fez nos últimos 12 meses por causa do COVID-19?</t>
  </si>
  <si>
    <t>SE NS, ESCREVER 99998</t>
  </si>
  <si>
    <t>SE NS, ESCREVER 999998</t>
  </si>
  <si>
    <t>Se as regalias estiverem todas incluídas no salário, ESCREVER 0</t>
  </si>
  <si>
    <t>CÓDIGO DA UNIDADE DE TEMPO</t>
  </si>
  <si>
    <t>UNIDADE DE TEMPO</t>
  </si>
  <si>
    <t>SEMANA</t>
  </si>
  <si>
    <t>1 Menos horas por dia ou menos dias por mês</t>
  </si>
  <si>
    <t>TRIMESTRE</t>
  </si>
  <si>
    <t>2 Suspenso por algumas semanas ou meses</t>
  </si>
  <si>
    <t>1 Redução de salário, benefícios e / ou vantagens vinculados a este trabalho</t>
  </si>
  <si>
    <t>1   Sim</t>
  </si>
  <si>
    <t>1    Sim</t>
  </si>
  <si>
    <t>3 Empresa privada</t>
  </si>
  <si>
    <t>2   Não</t>
  </si>
  <si>
    <t>4 Empresa associativa</t>
  </si>
  <si>
    <t>(Escrever na coluna da esquerda o descritivo do emprego ou da profissão; na coluna da direita, escrever o código correspondente depois da entrevista. Os códigos do emprego/profissão encontram-se no anexo do manual do agente entrevistador)</t>
  </si>
  <si>
    <t>(Escrever na coluna da esquerda o descritivo do ramo de atividade; na coluna da direita, escrever o código correspondente depois da entrevista. Os códigos dos ramos de atividade encontram-se no anexo do manual do agente entrevistador)</t>
  </si>
  <si>
    <t>2 Salário, benefícios e / ou vantagens vinculados a este emprego mais irregular</t>
  </si>
  <si>
    <t>UNIDADE 
DE TEMPO</t>
  </si>
  <si>
    <t>EMPREGO/PROFISSÃO</t>
  </si>
  <si>
    <t>RAMO DE ATIVIDADE</t>
  </si>
  <si>
    <t>DIAS</t>
  </si>
  <si>
    <t>a</t>
  </si>
  <si>
    <t>b</t>
  </si>
  <si>
    <t>PARTE C: EMPREGO SECUNDÁRIO DURANTE OS ÚLTIMOS 12 MESES (INDIVÍDUOS COM IDADE IGUAL OU SUPERIOR A 6 ANOS)</t>
  </si>
  <si>
    <t>Gostaria de lhe fazer algumas perguntas sobre o emprego secundário que exerceu nos últimos 12 meses. Descreva por favor o emprego ou profissão que [NOME] exerceu nos últimos 12 meses.  O que fez no âmbito deste emprego?</t>
  </si>
  <si>
    <t>Quantos meses [NOME] exerceu este emprego nos últimos 12 meses?</t>
  </si>
  <si>
    <t>Qual foi o salário de [NOME] neste emprego para o período de tempo considerado?</t>
  </si>
  <si>
    <t>[NOME] beneficia de premios no âmbito deste emprego?</t>
  </si>
  <si>
    <t xml:space="preserve">Em quanto avalia os premios (apenas aqueles que não estão incluídos no salário)? </t>
  </si>
  <si>
    <t>[NOME] beneficia de outras regalias (subsídio de transporte, subsídio de alojamento, etc. que não alimentação) no âmbito deste emprego?</t>
  </si>
  <si>
    <t xml:space="preserve">Assalariado </t>
  </si>
  <si>
    <t>Não assalariado ► Secção 5</t>
  </si>
  <si>
    <t xml:space="preserve">8 Trabalhador familiar contribuinte numa empresa familiar </t>
  </si>
  <si>
    <t>SECÇÃO 5: Rendimentos fora do emprego durante os últimos 12 meses (indivíduos com idade igual ou superior a 15 anos)</t>
  </si>
  <si>
    <t>Qual é o código ID do respondente?</t>
  </si>
  <si>
    <t>[NOME] beneficiou de uma pensão de reforma (civil e militar, incluindo antigos combatentes) nos últimos 12 meses?</t>
  </si>
  <si>
    <t>Qual é o montante anual da pensão de reforma (civil e militar, incluindo antigos combatentes) auferido por [NOME]</t>
  </si>
  <si>
    <t xml:space="preserve">[NOME] beneficiou de uma pensão de viuvez (em caso de morte de cônjuge) ou de orfandade (morte de pais)? </t>
  </si>
  <si>
    <t>Qual é o montante anual da pensão de viuvez (em caso de morte de cônjuge) ou de orfandade (morte de pais) auferido por [NOME]</t>
  </si>
  <si>
    <t>[NOME] beneficiou de uma pensão de invalidez (em caso de acidente de trabalho) nos últimos 12 meses?</t>
  </si>
  <si>
    <t>Qual é o montante anual da pensão de invalidez (em caso de acidente de trabalho) auferido por [NOME]</t>
  </si>
  <si>
    <t>[NOME] beneficiou de uma pensão de alimentos (em caso de divórcio ou separação) nos últimos 12 meses?</t>
  </si>
  <si>
    <t>Qual é o montante anual da pensão de alimentos (em caso de divórcio ou separação) auferido por [NOME]</t>
  </si>
  <si>
    <t>[NOME] auferiu rendimentos provenientes de arrendamentos de casa de habitação nos últimos 12 meses?</t>
  </si>
  <si>
    <t>Qual é o montante anual dos rendimentos provenientes de arrendamentos de casa de habitação auferido por [NOME]</t>
  </si>
  <si>
    <t>[NOME] auferiu rendimentos de capitais e financeiros (dividendos de ações, juros de aplicações, etc.) nos últimos 12 meses?</t>
  </si>
  <si>
    <t>Qual é o montante anual dos rendimentos de capitais e financeiros (dividendos de ações, juros de aplicações, etc.) auferido por [NOME]</t>
  </si>
  <si>
    <t>[NOME] auferiu outros rendimentos (ganhos em lotaria, herança, venda de bens, etc.) nos últimos 12 meses?</t>
  </si>
  <si>
    <t>Qual é o montante anual de outros rendimentos (ganhos em lotaria, herança, venda de bens, etc.) auferido por [NOME]</t>
  </si>
  <si>
    <t>1.  Sim</t>
  </si>
  <si>
    <t>2. Não ► Secção 6</t>
  </si>
  <si>
    <t>SECÇÃO 6: POUPANÇAS E CRÉDITO (INDIVÍDUOS COM IDADE IGUAL OU SUPERIOR A 15 ANOS)</t>
  </si>
  <si>
    <r>
      <t>[NOME] Será que possui uma conta nos estabelecimentos financeiros seguintes ou um cartão pré-pago?
1.  Sim
2.  Não
E</t>
    </r>
    <r>
      <rPr>
        <i/>
        <sz val="9"/>
        <rFont val="Arial Narrow"/>
        <family val="2"/>
      </rPr>
      <t>screver em cada coluna 1 para Sim ou 2 para Não
Se Não em todos os estabelecimentos ir para 6.03</t>
    </r>
  </si>
  <si>
    <t xml:space="preserve">[NOME] possui poupanças nestas contas? </t>
  </si>
  <si>
    <t>[NOME] solicitou crédito a uma instituição financeira nos últimos 12 meses?</t>
  </si>
  <si>
    <t>Por que razão [NOME] não solicitou crédito nos últimos 12 meses?</t>
  </si>
  <si>
    <t>[NOME] obteve crédito junto de uma destas instituições financeiras nos últimos 12 meses?</t>
  </si>
  <si>
    <t>Qual foi o principal motivo pelo qual [NOME] não recebeu o crédito?</t>
  </si>
  <si>
    <t>[NOME] é membro de uma tontina (abota) ou de uma associação de entreajuda?</t>
  </si>
  <si>
    <t>[NOME] solicitou crédito a uma associação solidário ou tontina/abota?</t>
  </si>
  <si>
    <t xml:space="preserve">[NOME] beneficiou mesmo assim de um crédito no passado que ainda não foi totalmente reembolsado?  </t>
  </si>
  <si>
    <t xml:space="preserve">Quantos créditos em curso que ainda não foram reembolsados, contraído por [NOME]?                                                                                                                                                                                                                                                                                  </t>
  </si>
  <si>
    <r>
      <t>Qual foi a principal utilização que [NOME] fez com este último cr</t>
    </r>
    <r>
      <rPr>
        <sz val="9"/>
        <rFont val="Calibri"/>
        <family val="2"/>
      </rPr>
      <t>é</t>
    </r>
    <r>
      <rPr>
        <sz val="9"/>
        <rFont val="Arial Narrow"/>
        <family val="2"/>
      </rPr>
      <t>dito?</t>
    </r>
  </si>
  <si>
    <t xml:space="preserve">Junto de quem foi contraído este último crédito? 
</t>
  </si>
  <si>
    <t>Em que data foi contraído este último crédito?</t>
  </si>
  <si>
    <r>
      <t>Qual é o montante nominal deste último crédito?</t>
    </r>
    <r>
      <rPr>
        <i/>
        <sz val="8"/>
        <rFont val="Arial Narrow"/>
        <family val="2"/>
      </rPr>
      <t xml:space="preserve"> (Em Francos CFA)</t>
    </r>
  </si>
  <si>
    <t>Qual é a periodicidade dos reembolsos deste último crédito?</t>
  </si>
  <si>
    <t>Qual é o número de prestações de reembolso deste último crédito segundo a periodicidade anterior?</t>
  </si>
  <si>
    <r>
      <t xml:space="preserve">Qual é o montante nominal que deve ser reembolsado em média a cada prestação deste último crédito? </t>
    </r>
    <r>
      <rPr>
        <i/>
        <sz val="9"/>
        <rFont val="Arial Narrow"/>
        <family val="2"/>
      </rPr>
      <t>(Em Francos CFA)</t>
    </r>
  </si>
  <si>
    <t>Qual é o número de prestações já reembolsadas deste último crédito?</t>
  </si>
  <si>
    <t>A crise do COVID-19 afeta ou afetou a amortização desse crédito?</t>
  </si>
  <si>
    <t>(Para o mês, escrever 01 para janeiro, 02 para fevereiro, etc.)</t>
  </si>
  <si>
    <t>(Para o ano, escrever os quatro algarismos, ex: 2010 para 2010; 2011 para 2011, etc.)</t>
  </si>
  <si>
    <t>1.Educação</t>
  </si>
  <si>
    <t>1. Falta de instituições de crédito</t>
  </si>
  <si>
    <t>1. Dossier incompleto</t>
  </si>
  <si>
    <t>2. Saúde</t>
  </si>
  <si>
    <t>0. Diário</t>
  </si>
  <si>
    <t>2. Não sabe como perguntar</t>
  </si>
  <si>
    <t>3. Equipamento para o agregado familiar (viatura, eletrodoméstico, etc.)</t>
  </si>
  <si>
    <t>1. Banco</t>
  </si>
  <si>
    <t>1. Semanal</t>
  </si>
  <si>
    <t>3. Não atende às condições</t>
  </si>
  <si>
    <t>2. Sem garantia</t>
  </si>
  <si>
    <t>2. Caixa rural de poupança, Agência de Promoção de Micro Finanças</t>
  </si>
  <si>
    <t>2. Mensal</t>
  </si>
  <si>
    <t>1 Nenhum efeito</t>
  </si>
  <si>
    <t>4. Não tem certeza de obter um</t>
  </si>
  <si>
    <t>3. Baixa capacidade de reembolso</t>
  </si>
  <si>
    <t>4. Aquisição de terreno, construção, recuperação de habitação</t>
  </si>
  <si>
    <t>3. ONG</t>
  </si>
  <si>
    <t>3. Trimestral</t>
  </si>
  <si>
    <t>2 Tem impedido temporariamente de fazer reembolsos</t>
  </si>
  <si>
    <t>5. Não é capaz de reembolsar</t>
  </si>
  <si>
    <t>4. Fornecedor</t>
  </si>
  <si>
    <t>4. Semestral</t>
  </si>
  <si>
    <t>6. Altas taxas de juros</t>
  </si>
  <si>
    <t>5. Criar um negócio, empresa</t>
  </si>
  <si>
    <t>5. Cooperativa</t>
  </si>
  <si>
    <t>5. Anual</t>
  </si>
  <si>
    <t>Instituições financeiras</t>
  </si>
  <si>
    <t>7. Outro crédito em andamento</t>
  </si>
  <si>
    <t>4. Outro crédito em andamento</t>
  </si>
  <si>
    <t>2 Não ► Secção 7A</t>
  </si>
  <si>
    <t xml:space="preserve">6. Financiar um negócio existente (equipamento, matérias-primas)
</t>
  </si>
  <si>
    <t>6. Outro agregado familiar</t>
  </si>
  <si>
    <t>6. De uma só vez</t>
  </si>
  <si>
    <t>3 Impede de fazer reembolsos até agora</t>
  </si>
  <si>
    <t>Banco clássico</t>
  </si>
  <si>
    <t>Correios</t>
  </si>
  <si>
    <t>Caixa rural de poupança, Agência de Promoção de micro-finanças</t>
  </si>
  <si>
    <t>Banca móvel</t>
  </si>
  <si>
    <t>Cartão pré-pago</t>
  </si>
  <si>
    <t>8. Não é necessário</t>
  </si>
  <si>
    <t>7. Tontina/associação</t>
  </si>
  <si>
    <t>9. Banco ou instituição de crédito inacessível devido ao COVID-19</t>
  </si>
  <si>
    <t>5 Dossier sendo processado</t>
  </si>
  <si>
    <t>8. Agiota</t>
  </si>
  <si>
    <t>►► Próxima pessoa</t>
  </si>
  <si>
    <t>6 Outro (especifique)</t>
  </si>
  <si>
    <t>Se 0 ►Seçao seguinte</t>
  </si>
  <si>
    <t>7. Insumos agrícolas (sementes, adubos, rações para animais, etc.)</t>
  </si>
  <si>
    <t>9. Outro (especificar)</t>
  </si>
  <si>
    <t>10. Outro (a ser especificado)</t>
  </si>
  <si>
    <t>8. Consumo do agregado familiar</t>
  </si>
  <si>
    <t xml:space="preserve">9. Eventos/festas            </t>
  </si>
  <si>
    <t>10. Outro (especificar)</t>
  </si>
  <si>
    <t>MONTANTE</t>
  </si>
  <si>
    <t>SECÇÃO 7A: REFEIÇÕES CONSUMIDAS FORA DO AGREGADO FAMILIAR DURANTE OS ÚLTIMOS 7 DIAS</t>
  </si>
  <si>
    <t>INQUIRIDOR: Deve começar com os alimentos consumidos (pelo menos dois membros juntos) fora de casa por pelo menos dois membros do agregado familiar na linha 98</t>
  </si>
  <si>
    <t>(7A.00)</t>
  </si>
  <si>
    <t>(7A.01)</t>
  </si>
  <si>
    <t>(7A.02)</t>
  </si>
  <si>
    <t>(7A.03)</t>
  </si>
  <si>
    <t>(7A.04)</t>
  </si>
  <si>
    <t>(7A.05)</t>
  </si>
  <si>
    <t>(7A.06)</t>
  </si>
  <si>
    <t>(7A.07)</t>
  </si>
  <si>
    <t>(7A.08)</t>
  </si>
  <si>
    <t>(7A.09)</t>
  </si>
  <si>
    <t>(7A.10)</t>
  </si>
  <si>
    <t>(7A.11)</t>
  </si>
  <si>
    <t>(7A.12)</t>
  </si>
  <si>
    <t>(7A.13)</t>
  </si>
  <si>
    <t>(7A.14)</t>
  </si>
  <si>
    <t>(7A.15)</t>
  </si>
  <si>
    <t>(7A.16)</t>
  </si>
  <si>
    <t>(7A.17)</t>
  </si>
  <si>
    <t>(7A.18)</t>
  </si>
  <si>
    <t>(7A.19)</t>
  </si>
  <si>
    <t>(7A.20)</t>
  </si>
  <si>
    <t>(7A.21)</t>
  </si>
  <si>
    <t>Quem é o respondente desta sessão</t>
  </si>
  <si>
    <t>[NOME] tomou um pequeno-almoço (pão, café, chá, donetes, panquecas, croissant, papa, etc.) comprado fora do agregado familiar ou oferecido nos últimos 7 dias?</t>
  </si>
  <si>
    <t>Nos últimos 7 dias, que montante [NOME] gastou no pequeno-almoço tomado fora?</t>
  </si>
  <si>
    <t>Nos últimos 7 dias, em quanto estima o montante em caso de pequeno-almoço oferecido, tomado fora por [NOME]?</t>
  </si>
  <si>
    <t>[NOME] consumiu um almoço (refeição do meio-dia) comprado fora do agregado familiar ou oferecido nos últimos 7 dias?</t>
  </si>
  <si>
    <t>Nos últimos 7 dias, que montante [NOME] gastou no almoço consumido fora?</t>
  </si>
  <si>
    <t>Nos últimos 7 dias, em quanto estima o montante em caso de almoço oferecido, consumido fora por [NOME]?</t>
  </si>
  <si>
    <t>[NOME] consumiu um jantar (refeição da noite) comprado fora do agregado familiar ou oferecido nos últimos 7 dias?</t>
  </si>
  <si>
    <t>Nos últimos 7 dias, que montante [NOME] gastou no jantar consumido fora?</t>
  </si>
  <si>
    <t>Nos últimos 7 dias, em quanto estima o montante em caso de jantar oferecido, consumido fora por [NOME]?</t>
  </si>
  <si>
    <t>[NOME] consumiu uma merenda, isto é, algo entre as refeições principais (bolacha, grelhado, etc.), comprada fora do agregado familiar ou oferecida nos últimos 7 dias?</t>
  </si>
  <si>
    <t>Nos últimos 7 dias, que montante [NOME] gastou na merenda consumida fora?</t>
  </si>
  <si>
    <t>Nos últimos 7 dias, em quanto estima o montante em caso de merenda oferecida, consumida fora por [NOME]?</t>
  </si>
  <si>
    <t>[NOME] tomou uma bebida quente (café, chá, etc.) comprada fora do agregado familiar ou oferecida nos últimos 7 dias?</t>
  </si>
  <si>
    <t>Nos últimos 7 dias, que montante [NOME] gastou nas bebidas quentes tomadas fora?</t>
  </si>
  <si>
    <t>Nos últimos 7 dias, em quanto estima o montante em caso de bebidas quentes oferecidas, tomadas fora por [NOME]?</t>
  </si>
  <si>
    <t>[NOME] tomou uma bebida não alcólicas (água em pacote ou em garrafa, sumo em pacote ou em garrafa, refrigerante, leite e iogurte, etc) comprada fora do agregado familiar ou oferecida nos últimos 7 dias?</t>
  </si>
  <si>
    <t>Nos últimos 7 dias, que montante [NOME] gastou em bebidas sem álcool tomadas fora?</t>
  </si>
  <si>
    <t>Nos últimos 7 dias, em quanto estima o montante em caso de bebida sem álcool oferecida, tomadas fora por [NOME]?</t>
  </si>
  <si>
    <t>[NOME] tomou uma bebida alcoólica (cerveja local ou importada, vinho, whisky, etc.) comprada fora do agregado familiar ou oferecida nos últimos 7 dias?</t>
  </si>
  <si>
    <t>Nos últimos 7 dias, que montante [NOME] gastou em bebidas alcoólicas tomadas fora?</t>
  </si>
  <si>
    <t>Nos últimos 7 dias, em quanto estima o montante em caso de bebida alcoólica oferecida, tomada fora por [NOME]?</t>
  </si>
  <si>
    <t>1 Sim, comprado unicamente</t>
  </si>
  <si>
    <t>1 Sim, comprado</t>
  </si>
  <si>
    <t>3 Sim, comprado e oferecido</t>
  </si>
  <si>
    <t xml:space="preserve">3 Sim, comprado e oferecido </t>
  </si>
  <si>
    <t>4 Não
►Linha seguinte</t>
  </si>
  <si>
    <t>CÓDIGO ID</t>
  </si>
  <si>
    <t xml:space="preserve">SECÇÃO 7B: CONSUMO ALIMENTAR DURANTE OS ÚLTIMOS 7 DIAS E COMPRAS DURANTE OS ÚLTIMOS 30 DIAS </t>
  </si>
  <si>
    <t>(7B.00)  Escrever o codigo ID do respondente principal:</t>
  </si>
  <si>
    <t>Consumo nos últimos 7 dias</t>
  </si>
  <si>
    <t>Última compra dos últimos 30 dias</t>
  </si>
  <si>
    <t>(7B.01)</t>
  </si>
  <si>
    <t>(7B.02)</t>
  </si>
  <si>
    <t>(7B.03)</t>
  </si>
  <si>
    <t>(7B.04)</t>
  </si>
  <si>
    <t>(7B.05)</t>
  </si>
  <si>
    <t>(7B.06)</t>
  </si>
  <si>
    <t>(7B.07)</t>
  </si>
  <si>
    <t>(7B.08)</t>
  </si>
  <si>
    <t>Código do produto</t>
  </si>
  <si>
    <t xml:space="preserve">LER O NOME DE CADA PRODUTO
ESCREVER A RESPOSTA REFERENTE A CADA PRODUTO EM 7B.02 ANTES DE FAZER AS PERGUNTAS DE 7B.03 A 7B.08
</t>
  </si>
  <si>
    <t>O seu agregado familiar consumiu [PRODUTO] nos últimos 7 dias?</t>
  </si>
  <si>
    <t xml:space="preserve">Qual foi a quantidade total do [PRODUTO] consumida pelo agregado familiar nos últimos 7 dias?
</t>
  </si>
  <si>
    <t>Entre esta quantidade consumida, qual dessa provém da produção própria do agregado familiar (agricultura, pecuaria, pesca, acuacultura, caça, colheita)?</t>
  </si>
  <si>
    <t>Entre esta quantidade consumida, quanto provém de outras fontes (oferta, apanhado do proprio comércio do, troca, etc.)?</t>
  </si>
  <si>
    <t xml:space="preserve">Quando foi a última vez que o [PRODUTO] foi comprado no agregado familiar?                                  1=Ontem                                         2=últimos 7 dias                     3=últimos 30 dias               4=Há mais de 30 dias ►Linha seguinte                           5=Nunca ►Linha seguinte
</t>
  </si>
  <si>
    <t>Que quantidade do [PRODUTO] foi comprada da última vez?</t>
  </si>
  <si>
    <t>Qual é o valor do [PRODUTO] comprado da última vez?</t>
  </si>
  <si>
    <t xml:space="preserve">1=Sim                               </t>
  </si>
  <si>
    <t>Descritivo dos produtos</t>
  </si>
  <si>
    <t>QUANTIDADE</t>
  </si>
  <si>
    <t>UNIDADE</t>
  </si>
  <si>
    <t>MONTANTE (FRANCOS CFA)</t>
  </si>
  <si>
    <t>CEREAIS E PÃES</t>
  </si>
  <si>
    <t>Arroz local de bolanha</t>
  </si>
  <si>
    <t>Arroz local de Npampam</t>
  </si>
  <si>
    <t>Arroz importado perfumado</t>
  </si>
  <si>
    <t>Arroz importado simples</t>
  </si>
  <si>
    <t>Arroz importado simples (Gros)</t>
  </si>
  <si>
    <t>Milho bacil em espiga</t>
  </si>
  <si>
    <t>Milho bacil em grão</t>
  </si>
  <si>
    <t>Milho preto/Painço</t>
  </si>
  <si>
    <t>Milho cavalo/Sorgo</t>
  </si>
  <si>
    <t>Trigo</t>
  </si>
  <si>
    <t>Fundo</t>
  </si>
  <si>
    <t>Outros cereais</t>
  </si>
  <si>
    <t>Farinha de milho</t>
  </si>
  <si>
    <t>Fubá</t>
  </si>
  <si>
    <t>Farinha de milho preto</t>
  </si>
  <si>
    <t>Sêmola de milho preto</t>
  </si>
  <si>
    <t>Farinha de trigo local ou importada</t>
  </si>
  <si>
    <t>Sêmola de trigo</t>
  </si>
  <si>
    <t>Outras farinhas de cereais</t>
  </si>
  <si>
    <t>Outro Sêmola de cereal</t>
  </si>
  <si>
    <t>Massas</t>
  </si>
  <si>
    <t>Pão moderno</t>
  </si>
  <si>
    <t>Pão moderno redondo/curto</t>
  </si>
  <si>
    <t>Pão tradicional</t>
  </si>
  <si>
    <t>Pão tradicional 2</t>
  </si>
  <si>
    <t>Cereais de pequeno almoço</t>
  </si>
  <si>
    <t>Croissants</t>
  </si>
  <si>
    <t>Bolachas</t>
  </si>
  <si>
    <t>Bolos</t>
  </si>
  <si>
    <t>Donetes, Panquetes</t>
  </si>
  <si>
    <t>CARNE</t>
  </si>
  <si>
    <t>Carne bovina</t>
  </si>
  <si>
    <t>Carne de camelo</t>
  </si>
  <si>
    <t>Carne de carneiro</t>
  </si>
  <si>
    <t>Carne de cabra</t>
  </si>
  <si>
    <t>Miudezas e tripas (fígado, rim, etc.)</t>
  </si>
  <si>
    <t>Miudezas e tripas de galinha (moela)</t>
  </si>
  <si>
    <t>Carne de porco</t>
  </si>
  <si>
    <t>Galinha vivo</t>
  </si>
  <si>
    <t>Outras aves vivos (Pato, galinha de mato..)</t>
  </si>
  <si>
    <t>Carne de galinha / frango</t>
  </si>
  <si>
    <t>Carne de outras aves domésticas</t>
  </si>
  <si>
    <t>Charcutaria (presunto, salsichas), carnes enlatadas</t>
  </si>
  <si>
    <t>Carne seca/fumado (vaca, ovelha, porco)</t>
  </si>
  <si>
    <t>Caça</t>
  </si>
  <si>
    <t>Outras carnes, n.e.s.</t>
  </si>
  <si>
    <t>PEIXE E FRUTOS DO MAR</t>
  </si>
  <si>
    <t>Tainha fresco</t>
  </si>
  <si>
    <t xml:space="preserve">Djafal fresco </t>
  </si>
  <si>
    <t xml:space="preserve">Carapau fresco </t>
  </si>
  <si>
    <t xml:space="preserve">Bentana fresco </t>
  </si>
  <si>
    <t xml:space="preserve">Bagre fumado </t>
  </si>
  <si>
    <t xml:space="preserve">Bentaninha fumado </t>
  </si>
  <si>
    <t xml:space="preserve">Djafal fumado </t>
  </si>
  <si>
    <t>Peixe seco</t>
  </si>
  <si>
    <t>Caranguejos</t>
  </si>
  <si>
    <t>Camarões frescos</t>
  </si>
  <si>
    <t>Camarões secos</t>
  </si>
  <si>
    <t>Caramujos (caracol)</t>
  </si>
  <si>
    <t>Outros frutos do mar</t>
  </si>
  <si>
    <t>Peixe enlatado (sardinhas, atum,…)</t>
  </si>
  <si>
    <t>LEITE, QUEIJO E OVOS</t>
  </si>
  <si>
    <t>Leite fresco Importado</t>
  </si>
  <si>
    <t xml:space="preserve">Leite fresco </t>
  </si>
  <si>
    <t>Leite coalhado, iogurte</t>
  </si>
  <si>
    <t>Leite condensado</t>
  </si>
  <si>
    <t>Leite condensado sem açúcar</t>
  </si>
  <si>
    <t>Leite em pó</t>
  </si>
  <si>
    <t>Queijo</t>
  </si>
  <si>
    <t>Leite e farinha para bebês</t>
  </si>
  <si>
    <t>Outros produtos lácteos</t>
  </si>
  <si>
    <t>Ovos</t>
  </si>
  <si>
    <t>ÓLEOS E GORDURAS</t>
  </si>
  <si>
    <t>Manteiga</t>
  </si>
  <si>
    <t>Manteiga de karité</t>
  </si>
  <si>
    <t>Óleo de palma vermelho (Citi)</t>
  </si>
  <si>
    <t>Óleo de mancarra refinado</t>
  </si>
  <si>
    <t>Óleo de mancarra "Segal"</t>
  </si>
  <si>
    <t>Óleo de Soja</t>
  </si>
  <si>
    <t>Óleo de semente de algodão</t>
  </si>
  <si>
    <t>Óleo de palma refinado</t>
  </si>
  <si>
    <t>Óleo de karité</t>
  </si>
  <si>
    <t>Chabéu</t>
  </si>
  <si>
    <t>Outros óleos, n.e.s. (milho, soja, óleo de palmiste, etc.)</t>
  </si>
  <si>
    <t>FRUTAS</t>
  </si>
  <si>
    <t>Manga</t>
  </si>
  <si>
    <t>Ananás</t>
  </si>
  <si>
    <t>Laranja</t>
  </si>
  <si>
    <t>Limão</t>
  </si>
  <si>
    <t>Outros cítricos (mandarina, toranja, etc)</t>
  </si>
  <si>
    <t>Banana doce</t>
  </si>
  <si>
    <t>Abacate</t>
  </si>
  <si>
    <t>Melancia</t>
  </si>
  <si>
    <t>Melão</t>
  </si>
  <si>
    <t>Tâmaras</t>
  </si>
  <si>
    <t>Coco</t>
  </si>
  <si>
    <t>Cana de açúcar</t>
  </si>
  <si>
    <t>Maçãs</t>
  </si>
  <si>
    <t>Papaia</t>
  </si>
  <si>
    <t>Goiaba</t>
  </si>
  <si>
    <t>Cabaceira</t>
  </si>
  <si>
    <t>Faroba</t>
  </si>
  <si>
    <t>Outras frutas (veludo, fole, tambarina, uva, morango, etc.)</t>
  </si>
  <si>
    <t>LEGUMES</t>
  </si>
  <si>
    <t>Salada (alface)</t>
  </si>
  <si>
    <t>Repolho</t>
  </si>
  <si>
    <t>Cenoura</t>
  </si>
  <si>
    <t>Feijão verde</t>
  </si>
  <si>
    <t>Pepino</t>
  </si>
  <si>
    <t>Beringela</t>
  </si>
  <si>
    <t>Abóbora / Abobrinha</t>
  </si>
  <si>
    <t>Pimentão fresco</t>
  </si>
  <si>
    <t>Tomate fresco</t>
  </si>
  <si>
    <t>Tomate seco</t>
  </si>
  <si>
    <t>Candja fresco</t>
  </si>
  <si>
    <t>Candja seco</t>
  </si>
  <si>
    <t>Cebola fresca</t>
  </si>
  <si>
    <t>Cogumelo fresco</t>
  </si>
  <si>
    <t>Alho</t>
  </si>
  <si>
    <t>Folhas azeda/badjique</t>
  </si>
  <si>
    <t>Folhas de cabaceira/embomdeiro</t>
  </si>
  <si>
    <t>Folhas de batata</t>
  </si>
  <si>
    <t>Folhas de mandioca</t>
  </si>
  <si>
    <t>Outros legumes em folhas</t>
  </si>
  <si>
    <t>Outros legumes frescos, n.e.s.</t>
  </si>
  <si>
    <t>Concentrado de tomate/Calda</t>
  </si>
  <si>
    <t>LEGUMINOSOS E TUBERCULOS</t>
  </si>
  <si>
    <t>Ervilhas fresco</t>
  </si>
  <si>
    <t>Ervilhas secas</t>
  </si>
  <si>
    <t>Outros legumes secos n.e.</t>
  </si>
  <si>
    <t>Feijão seco</t>
  </si>
  <si>
    <t>Mancarra fresco com casca</t>
  </si>
  <si>
    <t>Mancarra seco com casca</t>
  </si>
  <si>
    <t>Mancarra sem casca</t>
  </si>
  <si>
    <t>Mancarra moída</t>
  </si>
  <si>
    <t>Mancarra torrada</t>
  </si>
  <si>
    <t>Mancarra ralada</t>
  </si>
  <si>
    <t>Queijo de soja</t>
  </si>
  <si>
    <t>Sésamo/bene</t>
  </si>
  <si>
    <t>Castanha de cajú</t>
  </si>
  <si>
    <t>Nozes de karité</t>
  </si>
  <si>
    <t>Mandioca</t>
  </si>
  <si>
    <t>Inhame</t>
  </si>
  <si>
    <t>Banana-da-terra</t>
  </si>
  <si>
    <t>Batata</t>
  </si>
  <si>
    <t>Taro, manfafa</t>
  </si>
  <si>
    <t>Batata-doce</t>
  </si>
  <si>
    <t>Outros tubérculos, n.e.s.</t>
  </si>
  <si>
    <t>Farinha de mandioca</t>
  </si>
  <si>
    <t>Pasta de mandioca (Tori, fufu)</t>
  </si>
  <si>
    <t>Gari, tapioca</t>
  </si>
  <si>
    <t>Attiéke</t>
  </si>
  <si>
    <t>Fruta de Kapokier</t>
  </si>
  <si>
    <t>AÇÚCAR, MEL, CHOCOLATE E CONFEITARIA</t>
  </si>
  <si>
    <t>Açúcar em pó</t>
  </si>
  <si>
    <t>Cubos de açúcar</t>
  </si>
  <si>
    <t>Mel</t>
  </si>
  <si>
    <t>Chocolate para mastigar, barrar</t>
  </si>
  <si>
    <t>Caramelo, doce, confeitaria, etc.</t>
  </si>
  <si>
    <t>ESPECIARIAS, CONDIMENTOS E OUTROS</t>
  </si>
  <si>
    <t>Sal</t>
  </si>
  <si>
    <t>Malagueta seca</t>
  </si>
  <si>
    <t>Malagueta fresca/Suculbembe</t>
  </si>
  <si>
    <t>Gengibre fresco</t>
  </si>
  <si>
    <t>Gengibre moído</t>
  </si>
  <si>
    <t>Cubo alimentar (Maggi, Jumbo,)</t>
  </si>
  <si>
    <t>Aroma (Maggi, Jumbo, etc.)</t>
  </si>
  <si>
    <t>Soumbala/neteto (mostarda africana)</t>
  </si>
  <si>
    <t>Maionese</t>
  </si>
  <si>
    <t>Vinagre de limão</t>
  </si>
  <si>
    <t>Outras vinagres</t>
  </si>
  <si>
    <t>Mostarda</t>
  </si>
  <si>
    <t>Pobar/pimenta preta</t>
  </si>
  <si>
    <t>Peixe seco como condimento (escalada)</t>
  </si>
  <si>
    <t xml:space="preserve">Outros condimentos </t>
  </si>
  <si>
    <t>Nozes de cola</t>
  </si>
  <si>
    <t>Outros produtos alimentícios</t>
  </si>
  <si>
    <t>BEBIDAS</t>
  </si>
  <si>
    <t>Café em pó</t>
  </si>
  <si>
    <t>Café instantâneo</t>
  </si>
  <si>
    <t>Chá</t>
  </si>
  <si>
    <t>Chá tipo 2</t>
  </si>
  <si>
    <t>Chocolate em pó</t>
  </si>
  <si>
    <t>Outros chás de ervas e infusões n.e.s. (quenqueleba, citronela, etc.)</t>
  </si>
  <si>
    <t>Sumos de frutas (laranja, hibisco, gengibre, sumo de caju, etc.)</t>
  </si>
  <si>
    <t>Sumos de fruta de pacote (compal,amanhecer, bongo...)</t>
  </si>
  <si>
    <t>Água mineral / filtrada</t>
  </si>
  <si>
    <t>Refrigerantes (cola, fanta, sumol, etc.)</t>
  </si>
  <si>
    <t>Sumos em pó</t>
  </si>
  <si>
    <t>Cervejas e vinhos tradicionais (dolo, vinho palmo, vinho de ráfia, vinho de caju, etc.)</t>
  </si>
  <si>
    <t>Cervejas industriais</t>
  </si>
  <si>
    <t>SECÇÃO 8: SEGURANÇA ALIMENTAR</t>
  </si>
  <si>
    <t>PARTE A: Escala de experiência de insegurança alimentar</t>
  </si>
  <si>
    <t xml:space="preserve">(8A.00)  Escreva o código ID do respondente principal da secção:    </t>
  </si>
  <si>
    <t>8A.01</t>
  </si>
  <si>
    <t>Nos últimos 12 meses, você ou outros membros do agregado familiar sentiram apreensão por não disporem de alimentos suficientes por falta de recursos?</t>
  </si>
  <si>
    <t>8A.06</t>
  </si>
  <si>
    <t xml:space="preserve">Nos últimos 12 meses, o seu agregado familiar deixou de dispor de alimentos por não haver dinheiro suficiente ou outros recursos? </t>
  </si>
  <si>
    <t>Sim</t>
  </si>
  <si>
    <t>Não</t>
  </si>
  <si>
    <t>Não sabe</t>
  </si>
  <si>
    <t>Recusa</t>
  </si>
  <si>
    <t>8A.07</t>
  </si>
  <si>
    <t xml:space="preserve">Nos últimos 12 meses, você ou outros membros do seu agregado familiar tiveram fome, mas não comeram por não haver dinheiro ou outros recursos para obter comida? </t>
  </si>
  <si>
    <t>8A.02</t>
  </si>
  <si>
    <t>Nos últimos 12 meses,você ou outros membros do seu agregado familiar não puderam ingerir alimentos saudáveis e nutritivos por falta de dinheiro ou outros recursos?</t>
  </si>
  <si>
    <t>8A.07a</t>
  </si>
  <si>
    <t>Nos últimos 12 meses, aconteceu com frequência que você ou outros membros do seu agregado familiar tivessem fome, mas não tivessem comido por não haver dinheiro suficiente ou recursos para obter comida? Isso aconteceu uma ou duas vezes, em alguns meses, mas não todos, ou quase todos os meses?</t>
  </si>
  <si>
    <t>8A.03</t>
  </si>
  <si>
    <t>Nos últimos 12 meses,você ou outros membros do seu agregado familiar ingeriram alimentos pouco diversificados por falta de dinheiro ou outros recursos?</t>
  </si>
  <si>
    <t xml:space="preserve"> Só uma ou duas vezes </t>
  </si>
  <si>
    <t>Em alguns meses, mas não todos</t>
  </si>
  <si>
    <t>Quase todos os meses</t>
  </si>
  <si>
    <t xml:space="preserve">Não sabe </t>
  </si>
  <si>
    <t>8A.04</t>
  </si>
  <si>
    <t xml:space="preserve">Nos últimos 12 meses, você ou outros membros do seu agregado familiar ficaram sem uma refeição por não terem dinheiro ou outros recursos para obter comida? </t>
  </si>
  <si>
    <t>8A.08</t>
  </si>
  <si>
    <t>Nos últimos 12 meses,você ou outros membros do seu agregado familiar passaram um dia inteiro sem comer por falta de dinheiro ou outros recursos?</t>
  </si>
  <si>
    <t>8A.05</t>
  </si>
  <si>
    <t xml:space="preserve">Nos últimos 12 meses,você ou outros membros do seu agregado familiar comeram menos do que achavam que deviam ter comido por falta de dinheiro ou outros recursos? </t>
  </si>
  <si>
    <t>8A.08a</t>
  </si>
  <si>
    <t>Nos últimos 12 meses, aconteceu com frequência que você ou outros membros do seu agregado familiar tivessem passado um dia inteiro sem comer por falta de dinheiro ou outros recursos? Isso aconteceu uma ou duas vezes, em alguns meses, mas não todos, ou quase todos os meses?</t>
  </si>
  <si>
    <t>PARTE B: COMPLEMENTO DO CONSUMO ALIMENTAR DURANTE OS ÚLTIMOS 7 DIAS</t>
  </si>
  <si>
    <t xml:space="preserve">(8B.00)  Escreva o código ID do respondente principal da secção:    </t>
  </si>
  <si>
    <t>8B.01
CÓDIGO</t>
  </si>
  <si>
    <t>8B.02</t>
  </si>
  <si>
    <t>8B.03</t>
  </si>
  <si>
    <t>Nos últimos 7 dias, durante quantos dias o seu agregado familiar consumiu os seguintes produtos?</t>
  </si>
  <si>
    <r>
      <t xml:space="preserve">Nos últimos 7 dias, alguma pessoa não pertencente ao agregado familiar beneficiou pelo menos de uma refeição do agregado?
</t>
    </r>
    <r>
      <rPr>
        <b/>
        <sz val="9"/>
        <rFont val="Arial Narrow"/>
        <family val="2"/>
      </rPr>
      <t xml:space="preserve"> (Se NÃO, avançar para a secção seguinte)</t>
    </r>
  </si>
  <si>
    <t>Número de dias</t>
  </si>
  <si>
    <t xml:space="preserve">1 SIM     </t>
  </si>
  <si>
    <t>2 NÃO</t>
  </si>
  <si>
    <r>
      <rPr>
        <b/>
        <sz val="9"/>
        <rFont val="Arial Narrow"/>
        <family val="2"/>
      </rPr>
      <t>Cereais e produtos cerealíferos</t>
    </r>
    <r>
      <rPr>
        <sz val="9"/>
        <rFont val="Arial Narrow"/>
        <family val="2"/>
      </rPr>
      <t xml:space="preserve"> (produtos 1 à 22) (milho/farinha de milho, milho cavalo, fundo, milho bacil, panquecas, arroz, pão, massas alimentícias, etc.) </t>
    </r>
  </si>
  <si>
    <r>
      <rPr>
        <b/>
        <sz val="9"/>
        <rFont val="Arial Narrow"/>
        <family val="2"/>
      </rPr>
      <t>Tubérculos e bananas-da-terra</t>
    </r>
    <r>
      <rPr>
        <sz val="9"/>
        <rFont val="Arial Narrow"/>
        <family val="2"/>
      </rPr>
      <t xml:space="preserve"> (produtos 104 à 110) (batatas, inhames, banana-da-terra, mandioca, taro, etc.)</t>
    </r>
  </si>
  <si>
    <t>8B.04</t>
  </si>
  <si>
    <t>8B.05</t>
  </si>
  <si>
    <t>8B.06</t>
  </si>
  <si>
    <t>03</t>
  </si>
  <si>
    <r>
      <t>Leguminosas e grão</t>
    </r>
    <r>
      <rPr>
        <sz val="9"/>
        <rFont val="Arial Narrow"/>
        <family val="2"/>
      </rPr>
      <t xml:space="preserve"> (produtos 92 a 103) (feijão seco, mancarra e pasta de mancarra, etc.)</t>
    </r>
  </si>
  <si>
    <t>Durante quantos dias foi partilhada uma refeição com pessoas  não pertencentes ao agregado familiar?</t>
  </si>
  <si>
    <t>Quantas refeições foram partilhadas com pessoas  não pertencentes ao agregado familiar?</t>
  </si>
  <si>
    <t>04</t>
  </si>
  <si>
    <r>
      <rPr>
        <b/>
        <sz val="9"/>
        <rFont val="Arial Narrow"/>
        <family val="2"/>
      </rPr>
      <t>Legumes</t>
    </r>
    <r>
      <rPr>
        <sz val="9"/>
        <rFont val="Arial Narrow"/>
        <family val="2"/>
      </rPr>
      <t xml:space="preserve"> (produtos 72 a 91) (alface, tomate, candja, beringela, pimento, feijão verde, pepino, etc.)</t>
    </r>
  </si>
  <si>
    <t>05</t>
  </si>
  <si>
    <r>
      <t xml:space="preserve">Peixe, marisco e carne </t>
    </r>
    <r>
      <rPr>
        <sz val="9"/>
        <rFont val="Arial Narrow"/>
        <family val="2"/>
      </rPr>
      <t>(produtos 23 a 43) (carne de vaca, carne de carneiro, frango, peixe fresco e seco, etc.)</t>
    </r>
  </si>
  <si>
    <t>06</t>
  </si>
  <si>
    <r>
      <t>Fruta</t>
    </r>
    <r>
      <rPr>
        <sz val="9"/>
        <rFont val="Arial Narrow"/>
        <family val="2"/>
      </rPr>
      <t xml:space="preserve"> (produtos 60 a 71) (manga, laranja, limão, melancia, melão, ananás, tâmaras, etc.)</t>
    </r>
  </si>
  <si>
    <t>Número de refeições</t>
  </si>
  <si>
    <t>07</t>
  </si>
  <si>
    <r>
      <t xml:space="preserve">Leite e produtos lácteos, ovos </t>
    </r>
    <r>
      <rPr>
        <sz val="9"/>
        <rFont val="Arial Narrow"/>
        <family val="2"/>
      </rPr>
      <t xml:space="preserve"> (produtos 44 a 52) (leite fresco, leite em pó, iogurte, queijo, ovos, etc.)</t>
    </r>
  </si>
  <si>
    <t>Crianças de 0 a 5 anos</t>
  </si>
  <si>
    <t>08</t>
  </si>
  <si>
    <r>
      <t>Óleos e gorduras</t>
    </r>
    <r>
      <rPr>
        <sz val="9"/>
        <rFont val="Arial Narrow"/>
        <family val="2"/>
      </rPr>
      <t xml:space="preserve"> (produtos 53 a 59) (manteiga, óleo de palma, óleo de amendoim, etc.)</t>
    </r>
  </si>
  <si>
    <t>Crianças de 6 a 15 anos</t>
  </si>
  <si>
    <t>09</t>
  </si>
  <si>
    <r>
      <t>Açúcar</t>
    </r>
    <r>
      <rPr>
        <sz val="9"/>
        <rFont val="Arial Narrow"/>
        <family val="2"/>
      </rPr>
      <t xml:space="preserve"> (produtos 114 a 117 (açúcar em pó e em cubos, bombons, mel)</t>
    </r>
  </si>
  <si>
    <t>Adultos de 16 a 65 anos</t>
  </si>
  <si>
    <r>
      <t>Especiarias e condimentos</t>
    </r>
    <r>
      <rPr>
        <sz val="9"/>
        <rFont val="Arial Narrow"/>
        <family val="2"/>
      </rPr>
      <t xml:space="preserve"> (produtos 118 a 126) (malagueta, sal, caldo de galinha/vaca, alho, gengibre, etc.)</t>
    </r>
  </si>
  <si>
    <t>Adultos com mais de 65 anos</t>
  </si>
  <si>
    <t>SECÇÃO 9: DESPESAS RETROSPETIVAS ALIMENTARES E NÃO ALIMENTARES DO AGREGADO FAMILIAR</t>
  </si>
  <si>
    <t>PARTE A: DESPESAS COM FESTAS E CERIMÓNIAS DURANTE OS ÚLTIMOS 12 MESES</t>
  </si>
  <si>
    <t>(9A.00)</t>
  </si>
  <si>
    <t>Escreva o código ID do respondente principal da secção:</t>
  </si>
  <si>
    <t>(9A.01)</t>
  </si>
  <si>
    <t>(9A.02)</t>
  </si>
  <si>
    <t>(9A.03)</t>
  </si>
  <si>
    <t>(9A.04)</t>
  </si>
  <si>
    <t>(9A.05)</t>
  </si>
  <si>
    <t>(9A.06)</t>
  </si>
  <si>
    <t>(9A.07)</t>
  </si>
  <si>
    <t>Código do evento</t>
  </si>
  <si>
    <t xml:space="preserve">Nos últimos 12 meses, efetuou despesas com festas (despesas não referidas anteriormente)?                                        </t>
  </si>
  <si>
    <t>Qual foi o montante total desta despesa em alimentação?</t>
  </si>
  <si>
    <t>Qual foi o montante total desta despesa em bebidas?</t>
  </si>
  <si>
    <t>Qual é a quantidade total dessa despesa em roupas, sapatos, cabeleireiro  (incluindo mechas) e jóias</t>
  </si>
  <si>
    <t>Qual foi o montante total desta despesa na locação de salas, cadeiras e outras locações?</t>
  </si>
  <si>
    <t>Qual foi o montante total das outras despesas não alimentares?</t>
  </si>
  <si>
    <t>1=Sim</t>
  </si>
  <si>
    <t xml:space="preserve"> 2 Não►Linha seguinte</t>
  </si>
  <si>
    <t>COMECE POR PERGUNTAR SOBRE TODOS OS EVENTOS E INSIRA 1 PARA SIM OU 2 PARA NÃO NA COLUNA CORRESPONDENTE</t>
  </si>
  <si>
    <t>Fim do Ramadão 2021 ou 2022</t>
  </si>
  <si>
    <t>Festa de Tabasky 2021</t>
  </si>
  <si>
    <t>Outras festas religiosas muçulmanas</t>
  </si>
  <si>
    <t>Natal 2021</t>
  </si>
  <si>
    <t>Páscoa 2021</t>
  </si>
  <si>
    <t>Outras festas religiosas cristãs</t>
  </si>
  <si>
    <t>Festa de outras religiões/tradições</t>
  </si>
  <si>
    <t>Ano Novo 2022</t>
  </si>
  <si>
    <t>Casamento</t>
  </si>
  <si>
    <t>10</t>
  </si>
  <si>
    <t>Batismos</t>
  </si>
  <si>
    <t>11</t>
  </si>
  <si>
    <t>Primeira comunhão/comunhão solene</t>
  </si>
  <si>
    <t>12</t>
  </si>
  <si>
    <t>Funerais/luto</t>
  </si>
  <si>
    <t xml:space="preserve">Outro evento ou festas (toca choro, missas, esmola,...) </t>
  </si>
  <si>
    <t>SECÇÃO 9: DESPESAS RETROSPETIVAS NÃO ALIMENTARES DO AGREGADO FAMILIAR</t>
  </si>
  <si>
    <t>PARTE B: DESPESAS NÃO ALIMENTARES DURANTE OS ÚLTIMOS 7 DIAS</t>
  </si>
  <si>
    <t>(9B.01)</t>
  </si>
  <si>
    <t>(9B.02)</t>
  </si>
  <si>
    <t>(9B.03)</t>
  </si>
  <si>
    <t>Código do produto/serviço</t>
  </si>
  <si>
    <t>TÍTULO DO PRODUTO/SERVIÇO</t>
  </si>
  <si>
    <t xml:space="preserve">O seu agregado familiar adquiriu ou colheu [PRODUTO/SERVIÇO] nos últimos 7 dias? </t>
  </si>
  <si>
    <t>Qual foi o montante despendido nos últimos 7 dias?</t>
  </si>
  <si>
    <t>Montante em francos CFA</t>
  </si>
  <si>
    <t>2 Não ► Produto/serviço seguinte</t>
  </si>
  <si>
    <t>Cigarros/tabaco</t>
  </si>
  <si>
    <t>Petróleo para lanterna</t>
  </si>
  <si>
    <t>Carvão vegetal/carvão mineral</t>
  </si>
  <si>
    <t>Lenha comprada</t>
  </si>
  <si>
    <t>Lenha apanhada (estimar o valor)</t>
  </si>
  <si>
    <t>Velas</t>
  </si>
  <si>
    <t>Fósforos/esqueiro</t>
  </si>
  <si>
    <t xml:space="preserve">Combustível para veículo </t>
  </si>
  <si>
    <t>Combustível para motociclo</t>
  </si>
  <si>
    <t>Transporte urbano em táxi</t>
  </si>
  <si>
    <t>Transporte urbano em autocarro/toca-toca</t>
  </si>
  <si>
    <t>Transporte urbano/rural em moto-táxi</t>
  </si>
  <si>
    <t>Transporte urbano em comboio</t>
  </si>
  <si>
    <t>Transporte urbano/rural por via fluvial</t>
  </si>
  <si>
    <t>Transporte urbano/rural por tração animal</t>
  </si>
  <si>
    <t xml:space="preserve">Jornais </t>
  </si>
  <si>
    <t>Despesas com moagem de cereais</t>
  </si>
  <si>
    <t>PARTE C: DESPESAS NÃO ALIMENTARES DURANTE OS ÚLTIMOS 30 DIAS</t>
  </si>
  <si>
    <t>(9C.01)</t>
  </si>
  <si>
    <t>(9C.02)</t>
  </si>
  <si>
    <t>(9C.03)</t>
  </si>
  <si>
    <t xml:space="preserve">O seu agregado familiar adquiriu [PRODUTO/SERVIÇO] nos últimos 30 dias? </t>
  </si>
  <si>
    <t>Qual foi o montante despendido nos últimos 30 dias?</t>
  </si>
  <si>
    <t>Whisky e outras bebidas espirituosas</t>
  </si>
  <si>
    <t>Vinhos modernos</t>
  </si>
  <si>
    <t>Gás doméstico</t>
  </si>
  <si>
    <t>Combustível para grupo gerador de uso doméstico</t>
  </si>
  <si>
    <t>Pilhas</t>
  </si>
  <si>
    <t>Sabão doméstico, lixívia em pó, detergentes (lixívia líquida, etc.)</t>
  </si>
  <si>
    <t>Inseticida, rodilha antimosquito</t>
  </si>
  <si>
    <t>Salário do pessoal doméstico (guarda, servente, motorista, cozinheiro, etc.)</t>
  </si>
  <si>
    <t>Despesas com branqueamento de roupa, roupa de casa, etc. (passagem a ferro)</t>
  </si>
  <si>
    <t>Despesas com a recolha do lixo doméstico</t>
  </si>
  <si>
    <t>Lavagem de veículos</t>
  </si>
  <si>
    <t>Despesas de estacionamento</t>
  </si>
  <si>
    <t>Despesas com comunicações telefónicas em cabina/Telecentros</t>
  </si>
  <si>
    <t>Bilhete de lotaria nacional, bilhete de PMU, Winners, Bissau game, colos-colos, 1XBET,etc</t>
  </si>
  <si>
    <t>Revistas, jornais ou magazines mensais, etc.</t>
  </si>
  <si>
    <t>Despesas de cabeleireiria de Homem e Mulher (salão, tranças, corte, etc.), manicura, pedicura</t>
  </si>
  <si>
    <t>Sabonete, shampoo</t>
  </si>
  <si>
    <t>Pasta dentífrica</t>
  </si>
  <si>
    <t>Papel higiénico</t>
  </si>
  <si>
    <t>Pensos higiénicos, fraldas descartáveis para bebé, etc.</t>
  </si>
  <si>
    <t xml:space="preserve">Leite, loção corporal (glicerina, vaselina, etc.), produtos de maqueagem </t>
  </si>
  <si>
    <t>Máscara facial descartável contra COVID-19</t>
  </si>
  <si>
    <t>Gel hidroalcoólico</t>
  </si>
  <si>
    <t>Outros produtos de toilette (lâmina de barbear, algodão, creme/espuma, etc.)</t>
  </si>
  <si>
    <t>PARTE D: DESPESAS NÃO ALIMENTARES DURANTE OS ÚLTIMOS 3 MESES</t>
  </si>
  <si>
    <t>(9D.01)</t>
  </si>
  <si>
    <t>(9D.02)</t>
  </si>
  <si>
    <t>(9D.03)</t>
  </si>
  <si>
    <t xml:space="preserve">O seu agregado familiar adquiriu [PRODUTO/SERVIÇO] nos últimos 3 meses? </t>
  </si>
  <si>
    <t>Qual foi o montante despendido nos últimos 3 meses?</t>
  </si>
  <si>
    <t>Despesas com conservação e reparação de calçado: graxa, colocação de solas, etc.</t>
  </si>
  <si>
    <t>Lâmpadas elétricas para o lar</t>
  </si>
  <si>
    <t>Lubrificantes (óleo de motor, óleo de travões, liquido para bateria (ácido), graxas, outros lubrificantes n.e.)</t>
  </si>
  <si>
    <t>Serviços de reparação e manutenção (drenagem, lubrificação, etc.) de meios de transporte pessoais (viaturas, motociclos, bicicletas, etc.)</t>
  </si>
  <si>
    <t>Transporte entre localidades por automóvel (toca-toca, sete place, autocarro, etc)</t>
  </si>
  <si>
    <t>Transporte entre localidades por tração animal</t>
  </si>
  <si>
    <t>Transporte entre localidades por curso de água (barco, piroga, bote)</t>
  </si>
  <si>
    <t>Despesas com selos postais, envio de remessas, etc.</t>
  </si>
  <si>
    <t>Despesas com envio de faxes</t>
  </si>
  <si>
    <t>Produtos de jardinagem (plantas e flores ornamentais), sem ser para agricultura</t>
  </si>
  <si>
    <t>Alimentos, despesas de manutenção, despesas com veterinário de animais de estimação (cães, gatos, etc.)</t>
  </si>
  <si>
    <t>Admissão (compra de bilhetes) em eventos desportivos</t>
  </si>
  <si>
    <t>Admissão (compra de bilhetes) para cinema, concertos, peças de teatro, museus, exposições, etc.</t>
  </si>
  <si>
    <t>Outros serviços recreativos: serviços de fotografia (revelação, tiragem), fotografia tipo passe, etc.</t>
  </si>
  <si>
    <t>Máscara facial lavável contra COVID-19</t>
  </si>
  <si>
    <t>Medicamentos comprados nas farmácias sem receita: álcool, curativos, paracetamol, medicamentos para doenças comuns (malária, tosse, resfriado, diarréia / artrite reumatóide, vermes intestinais, etc.)</t>
  </si>
  <si>
    <t>Perfumes</t>
  </si>
  <si>
    <t>Escova dos dentes</t>
  </si>
  <si>
    <t>Contraceptivos</t>
  </si>
  <si>
    <t>Despesas com fotocópias de documentos</t>
  </si>
  <si>
    <t>Bilhetes de travessias e portagens</t>
  </si>
  <si>
    <t>PARTE E: DESPESAS NÃO ALIMENTARES DURANTE OS ÚLTIMOS 6 MESES</t>
  </si>
  <si>
    <t>(9E.01)</t>
  </si>
  <si>
    <t>(9E.02)</t>
  </si>
  <si>
    <t>(9E.03)</t>
  </si>
  <si>
    <r>
      <t xml:space="preserve">TÍTULO DO PRODUTO/SERVIÇO                                                                                                                                                                                             </t>
    </r>
    <r>
      <rPr>
        <sz val="9"/>
        <rFont val="Arial Narrow"/>
        <family val="2"/>
      </rPr>
      <t>(NÃO INCLUIR PANOS, VESTUÁRIO, CALÇADO E JOIAS COMPRADOS POR OCASIÃO DE FESTAS E CERIMÓNIAS, COMO A FESTA DO SACRIFÍCIO, O FIM DO RAMADÃO, O NATAL, A PÁSCOA, O ANO NOVO, CASAMENTOS, FUNERAIS, BATISMOS, ETC., QUE TENHAM SIDO INSCRITOS NAS SECÇÕES ANTERIORES)</t>
    </r>
  </si>
  <si>
    <t xml:space="preserve">O seu agregado familiar adquiriu [PRODUTO/SERVIÇO] nos últimos 6 meses? </t>
  </si>
  <si>
    <t>Qual foi o montante despendido nos últimos 6 meses?</t>
  </si>
  <si>
    <t>Tecidos para vestuário: tecidos de pano,  panos tecidos, tecidos sintéticos, etc.</t>
  </si>
  <si>
    <t>Vestuário de senhora (15 anos ou mais): vestido, saia, calças, saia-casaco, etc.</t>
  </si>
  <si>
    <t>Roupa interior de senhora (15 anos ou mais): combinação, saiote, T-shirt, soutien, collants, etc.</t>
  </si>
  <si>
    <t>Vestuário de criança (0-14 anos): enxoval para bebé, chambre, calça de rapaz, vestido de menina, cuecas de criança, blusas, etc. (não incluir uniformes escolares)</t>
  </si>
  <si>
    <t>Vestuário de homem (15 anos ou mais): camisa, calças, casaco, fato, roupa de trabalho, etc.</t>
  </si>
  <si>
    <t>Roupa interior de homem (15 anos ou mais): cuecas, peúgas, T-shirt e camisola interior, etc.</t>
  </si>
  <si>
    <t>Despesas com a confeção e conserto de vestuário de homem: fato, calças, camisa, conserto, aluguer de vestuário, etc.</t>
  </si>
  <si>
    <t>Despesas com a confeção e conserto de vestuário de senhora: vestido, calças, saia, saia-casaco, conserto, aluguer, etc.</t>
  </si>
  <si>
    <t xml:space="preserve">Despesas com conservação e conserto de vestuário de criança </t>
  </si>
  <si>
    <t xml:space="preserve">Calçado de homem </t>
  </si>
  <si>
    <t xml:space="preserve">Calçado de senhora </t>
  </si>
  <si>
    <t xml:space="preserve">Calçado de criança </t>
  </si>
  <si>
    <t>PARTE F: DESPESAS NÃO ALIMENTARES DURANTE OS ÚLTIMOS 12 MESES</t>
  </si>
  <si>
    <t>(9F.01)</t>
  </si>
  <si>
    <t>(9F.02)</t>
  </si>
  <si>
    <t>(9F.03)</t>
  </si>
  <si>
    <r>
      <t xml:space="preserve">TÍTULO DO PRODUTO/SERVIÇO    
 </t>
    </r>
    <r>
      <rPr>
        <sz val="9"/>
        <rFont val="Arial Narrow"/>
        <family val="2"/>
      </rPr>
      <t>(NÃO INCLUIR JOIAS COMPRADOS POR OCASIÃO DE FESTAS E CERIMÓNIAS, COMO A FESTA DO SACRIFÍCIO, O FIM DO RAMADÃO, O NATAL, A PÁSCOA, O ANO NOVO, CASAMENTOS, FUNERAIS, BATISMOS, ETC., QUE TENHAM SIDO INSCRITOS NAS SECÇÕES ANTERIORES)</t>
    </r>
  </si>
  <si>
    <t xml:space="preserve">O seu agregado familiar adquiriu [PRODUTO/SERVIÇO] nos últimos 12 meses? </t>
  </si>
  <si>
    <t>Qual foi o montante despendido nos últimos 12 meses?</t>
  </si>
  <si>
    <t xml:space="preserve">Material para conservação e pequenas reparações da habitação (substituição de uma chapa, vidro, lâmpada, etc.) </t>
  </si>
  <si>
    <t>Mão de obra e serviços de manutenção e reparação corrente da habitação (drenagem da fossa sética, mão de obra para a manutenção da habitação, etc.)</t>
  </si>
  <si>
    <t>Materiais de alvenaria para construção ou grandes reparações na habitação: cimento, tijolos, aço de construção, areia, cascalho, blocos de betão, etc.</t>
  </si>
  <si>
    <t>Outros materiais de construção ou grandes reparações na habitação: chapas, madeira para estruturas, tábuas, ripas, contraplacados, materiais elétricos, materiais de canalização, materiais de pintura, ladrilhos, tapetes e revestimentos de pavimento, etc.</t>
  </si>
  <si>
    <t>Mão de obra para construção e grandes reparações na habitação (alvenaria, coberturas e estrutura, eletricidade, pichelaria, carpintaria, pintura e revestimentos de pavimento), etc.</t>
  </si>
  <si>
    <t>Custos para cavar e arranjar um poço ou para construir um furo</t>
  </si>
  <si>
    <t>Despesas com aquisição de terreno ou habitação</t>
  </si>
  <si>
    <t>Despesas com estudos e projetos de arquitetura</t>
  </si>
  <si>
    <t>Despesas de subscrição na rede de distribuição de água</t>
  </si>
  <si>
    <t>Despesas de subscrição na rede de distribuição elétrica</t>
  </si>
  <si>
    <t>Despesas de ligação à rede de distribuição de água</t>
  </si>
  <si>
    <t>Despesas de ligação à rede de distribuição elétrica</t>
  </si>
  <si>
    <t>Móveis de sala de estar e sala de jantar (poltronas, mesa, cadeiras, armários, etc.)</t>
  </si>
  <si>
    <t>Cama, colchão, armário e outros móveis de quarto</t>
  </si>
  <si>
    <t xml:space="preserve">Reparação de móveis (poltronas, cadeiras, camas, armários, etc.) </t>
  </si>
  <si>
    <t>Têxteis lar e artigos conexos (toalhas de banho, lençóis, cobertores, colchas, fronhas, mosquiteiro, esteiras, tapetes, cortinas, leques, etc.)</t>
  </si>
  <si>
    <t xml:space="preserve">Eletrodomésticos: frigorífico, aparelho de ar condicionado, aquecedores, forno, fogão, máquina de lavar roupa, caldeira, ferro de passar, etc. </t>
  </si>
  <si>
    <t>Placa solar</t>
  </si>
  <si>
    <t>Bateria para painel solar e outros equipamentos / materiais para instalação solar</t>
  </si>
  <si>
    <t>Reparação de eletrodomésticos (ferro de passar, frigorífico, fogão, aquecedores, aparelho de ar condicionado, ventilador, caldeira, etc.)</t>
  </si>
  <si>
    <t>Louça: pratos, facas, garfos, colheres, taças, copos, etc.</t>
  </si>
  <si>
    <t>Utensílios de cozinha: tachos, panelas, coadores, reparação de utensílios de cozinha, etc.</t>
  </si>
  <si>
    <t>Outros utensílios domésticos: balde, chaleira, biberão, balde do lixo, chávenas, cafeteira não elétrica, bule, cabaça, concha, caneca, púcaro, almofariz,etc.</t>
  </si>
  <si>
    <t>Ferramentas domésticas: ferramentas de bricolagem (martelo, chave de fendas, etc.), ferramentas de jardinagem (pá, ancinho, carrinho de mão, etc.);</t>
  </si>
  <si>
    <t>Candeeiros elétricos, candeeiros contra tempestade, lanternas</t>
  </si>
  <si>
    <t xml:space="preserve"> Compra de viatura para uso pessoal</t>
  </si>
  <si>
    <t xml:space="preserve">Compra de motociclo (bicicleta, mota) para uso pessoal </t>
  </si>
  <si>
    <t>Peças sobresselentes de meios de transporte individuais: pneus, bateria, vela, carburador, etc.</t>
  </si>
  <si>
    <t>Despesas de seguro de meio de transporte individual (carro, mota, etc.), seguro de viagem</t>
  </si>
  <si>
    <t>Selo automóvel/motociclo</t>
  </si>
  <si>
    <t>Aluguer de veículo para uso pessoal: carro, mota/bicicleta, etc.</t>
  </si>
  <si>
    <t>Transporte interurbano de comboio no país e no estrangeiro</t>
  </si>
  <si>
    <t>Transporte de avião no país e no estrangeiro</t>
  </si>
  <si>
    <t>Despesas de mudança de residência</t>
  </si>
  <si>
    <t>Despesas de visto, taxas de aeroporto</t>
  </si>
  <si>
    <t>Compra de telemóvel</t>
  </si>
  <si>
    <t>Aparelhos de música e imagem: rádio, leitor de cassetes, aparelhagem de música, TV, leitor de CD/DVD, MP3, MP4, máquina fotográfica, câmara de vídeo, etc.</t>
  </si>
  <si>
    <t>Computador, impressora, tablet, máquina de escrever, etc.</t>
  </si>
  <si>
    <t>Reparação de aparelhos eletrónicos: rádio, leitor de cassetes, máquina fotográfica, leitor de CD/DVD, computador, etc.</t>
  </si>
  <si>
    <t>Pequeno material eletrónico de uso pessoal: cassetes, CD/DVD, chave USB, tinta para impressora, papel de impressão fotográfica, rolos fotográficos, etc.</t>
  </si>
  <si>
    <t>Artigos de desporto e lazer: bola, jogo do ludo, pesos (petanca), jogo de cartas, brinquedos para crianças, jogos de vídeo, pequenos instrumentos musicais, etc.</t>
  </si>
  <si>
    <t>Livros não escolares, banda desenhada</t>
  </si>
  <si>
    <t>Papel em resma, envelopes, material de desenho (pincéis, papel, tinta, etc.), etc.</t>
  </si>
  <si>
    <t>Despesas de peregrinação</t>
  </si>
  <si>
    <t>Formação profissional (em especial, diretamente junto de oficinas, mestres, etc.)</t>
  </si>
  <si>
    <t>Despesas com cursos privados para adultos (alfabetização) e pessoas não escolarizadas</t>
  </si>
  <si>
    <t>Serviços de alojamento: quartos de hóspedes, etc.</t>
  </si>
  <si>
    <t>Relógios, despertadores</t>
  </si>
  <si>
    <t>Brincos, colares, pulseiras, outros artigos de bijutaria e joalharia n.e.</t>
  </si>
  <si>
    <t>Outros objetos pessoais: malas, sacos de viagem, sacos à mão/bolsa, chapeu, óculos de sol, guarda-chuvas, guarda-sol, bengalas, porta-moedas, carteiras de bolso, artigos para fumadores (cinzeiros, etc.), artigos de bebé (carrinho, assentos), artigos funerários, etc.</t>
  </si>
  <si>
    <t>Despesas de seguro da casa ou outros bens que não meios de transporte</t>
  </si>
  <si>
    <t>Impostos sobre a habitação (imóveis construídos e não construídos), impostos de circulação</t>
  </si>
  <si>
    <t>Despesas com seguros de vida</t>
  </si>
  <si>
    <t>Despesas com seguros de saúde</t>
  </si>
  <si>
    <t>Custos de evacuação médica (para fora do país)</t>
  </si>
  <si>
    <t>Despesas com a certificação (emissão) de documentos administrativos (certidões de registo civil, diplomas, etc.)</t>
  </si>
  <si>
    <t>Outros serviços: anúncios na rádio, em jornais/televisão, agências funerárias, etc.</t>
  </si>
  <si>
    <t>SECÇÃO 10: EMPRESAS NÃO-AGRÍCOLAS</t>
  </si>
  <si>
    <t>PARTE A: EXISTÊNCIA DE EMPRESAS NÃO-AGRÍCOLAS</t>
  </si>
  <si>
    <t>Escrever o código ID (número de ordem) do respondente</t>
  </si>
  <si>
    <t>Nos últimos 12 meses, algum membro do seu agregado familiar exerceu a atividade seguinte?</t>
  </si>
  <si>
    <t>Confecionou donetes; grelhou carne de vaca, carneiro ou galinha; produziu sumos de fruta (cabaceira, faroba, limão, ondjo, veludo); fabricou aguardente tradicional (nsumsum), vinho de palmo, cajú; fez pão ou bolos para revenda por conta proprio?</t>
  </si>
  <si>
    <t>1 = Sim</t>
  </si>
  <si>
    <t xml:space="preserve">  2 = Não</t>
  </si>
  <si>
    <t>Possuiu, em casa ou noutro lugar, uma pequena empresa de confeção de vestuário (alfaiate), de fabrico de sandálias ou outros calçados?</t>
  </si>
  <si>
    <t>Possuiu, em casa ou noutro lugar, uma empresa no domínio da construção de habitações (alvenaria, blocos, eletricidade, canalização) ou da carpintaria (fabrico de móveis, camas, portas, janelas) em madeira ou metais, como ferro ou alumínio?</t>
  </si>
  <si>
    <t>Possuiu, em casa ou noutro lugar, uma empresa comercial (loja, venda de materiais de construção, material informático, cartões telefónicos, cigarros na berma da estrada, venda de produtos agrícolas e de pecuária frescos, etc.)?</t>
  </si>
  <si>
    <t>Exerceu uma profissão liberal por conta própria (médico, terapeuta tradicional, advogado, arquiteto com gabinete próprio ou associado, farmacêutico com farmácia própria, tradutor ou intérprete independente, engenheiro com gabinete de projetos próprio, etc.)?</t>
  </si>
  <si>
    <t>Possuiu uma empresa prestadora de outros serviços; táxi, moto-táxi, outros serviços de transporte, reparação e manutenção (viaturas, motociclos, rádios, computadores, TV, frigoríficos, aparelhos de ar condicionado, etc.), lavagem de automóveis; engraxador de sapatos, agente/vendedor imobiliário, cabine telefónica, processamento de texto, fotocópias, etc.?</t>
  </si>
  <si>
    <t>Possuiu um restaurante, bar, baracas; vendeu bebidas, possuiu um hotel, um albergue/residência alugada?</t>
  </si>
  <si>
    <t>Possuiu uma empresa de aluguer de cadeiras, mesas, toldos, equipamento de som?</t>
  </si>
  <si>
    <t>Possuiu qualquer outra empresa não-agrícola, mesmo que se trate de uma pequena atividade exercida no domicílio ou na rua (por exemplo, fabrico e venda de objetos de artesanato, tapetes, joias, entrançamento de esteiras, entrançamento de cabelo, salão de cabeleireiro, etc)?</t>
  </si>
  <si>
    <t xml:space="preserve"> ► Secção 11    </t>
  </si>
  <si>
    <t xml:space="preserve">SECÇÃO 10: EMPRESAS </t>
  </si>
  <si>
    <t>Falta de clientes por outros motivos</t>
  </si>
  <si>
    <t>PARTE B: CARACTERÍSTICAS DAS EMPRESAS NÃO-AGRÍCOLAS</t>
  </si>
  <si>
    <t>(10.12) Quantas empresas possui o agregado familiar:</t>
  </si>
  <si>
    <t>NÚMERO DE ORDEM DA EMPRESA (N.E.)</t>
  </si>
  <si>
    <r>
      <rPr>
        <b/>
        <sz val="9"/>
        <rFont val="Arial Narrow"/>
        <family val="2"/>
      </rPr>
      <t xml:space="preserve">INQUIRIDOR: O RESPONDENTE DE CADA EMPRESA É AINDA MELHOR SE FOR O PROPRIETÁRIO OU UM DOS GERENTES DA EMPRESA </t>
    </r>
    <r>
      <rPr>
        <sz val="9"/>
        <rFont val="Arial Narrow"/>
        <family val="2"/>
      </rPr>
      <t xml:space="preserve">
Quem é o principal respondente desta empresa?</t>
    </r>
  </si>
  <si>
    <t>Qual é o nome do proprietário principal ou o nome da empresa, se aplicável?</t>
  </si>
  <si>
    <t>Qual é o codigo ID do(s) proprietário(s) desta empresa? (Indicar no máximo 2 pessoas)</t>
  </si>
  <si>
    <t>Favor indicar o principal bem e/ou serviço produzido/prestado por esta empresa?</t>
  </si>
  <si>
    <t>Código do ramo (preencher depois da entrevista)</t>
  </si>
  <si>
    <t>Qual é o codigo ID da(s) pessoa(s) que gere(m) esta empresa?
 (Indicar no máximo 2 pessoas) 
Se gerente nao é membro do AF, escrever 98</t>
  </si>
  <si>
    <t xml:space="preserve">Qual é o codigo ID da(s) pessoa(s) que gere(m) as receitas desta empresa? (Indicar no máximo 2 pessoas) 
Se a pessoa que  gere as receitas nao é  é membro do AF, escrever 98
</t>
  </si>
  <si>
    <t>Desde quando funciona a empresa?</t>
  </si>
  <si>
    <r>
      <t xml:space="preserve">Quantas pessoas </t>
    </r>
    <r>
      <rPr>
        <b/>
        <sz val="9"/>
        <rFont val="Arial Narrow"/>
        <family val="2"/>
      </rPr>
      <t>não pertencentes ao agregado familiar</t>
    </r>
    <r>
      <rPr>
        <sz val="9"/>
        <rFont val="Arial Narrow"/>
        <family val="2"/>
      </rPr>
      <t xml:space="preserve"> são coproprietárias desta empresa?</t>
    </r>
  </si>
  <si>
    <t>Que parte dos lucros reverte para o agregado familiar?</t>
  </si>
  <si>
    <t>Em que tipo de local é exercida a atividade?</t>
  </si>
  <si>
    <t>O agregado familiar é proprietário ou arrendatário do local?</t>
  </si>
  <si>
    <t>Qual é o valor atual dos locais profissionais desta empresa?</t>
  </si>
  <si>
    <t>Esta empresa dispõe de eletricidade?</t>
  </si>
  <si>
    <t>Esta empresa dispõe de água corrente?</t>
  </si>
  <si>
    <t>Esta empresa ou o seu gestor dispõe de um telefone?</t>
  </si>
  <si>
    <t>Esta empresa possui contabilidade escrita?</t>
  </si>
  <si>
    <t>Esta empresa dispõe de um número de identificação fiscal (NIF)?</t>
  </si>
  <si>
    <t>Esta empresa está registada na Conservatória do Registo Comercial (CRC)?</t>
  </si>
  <si>
    <t>As pessoas que trabalham nesta empresa estão registadas no Instituto Nacional de  Segurança Social (INSS)?</t>
  </si>
  <si>
    <t>Qual é o estatuto jurídico desta empresa?</t>
  </si>
  <si>
    <t>Qual foi a principal fonte de financiamento que o ajudou a criar esta empresa?</t>
  </si>
  <si>
    <t>Esta empresa possui maquinaria?</t>
  </si>
  <si>
    <t>Qual é o valor atual desta maquinaria?</t>
  </si>
  <si>
    <t>Esta empresa possui material circulante (viaturas, motociclos, etc.)??</t>
  </si>
  <si>
    <t>Qual é o valor atual deste material circulante?</t>
  </si>
  <si>
    <t>Esta empresa possui mobiliário e equipamento de escritório?</t>
  </si>
  <si>
    <t>Qual é o valor atual deste mobiliário e equipamento de escritório?</t>
  </si>
  <si>
    <t>Esta empresa possui outros equipamentos (por exemplo, panelas ou louça, no caso de um restaurante, pequenos utensílios de carpintaria, etc.)?</t>
  </si>
  <si>
    <t>Qual é o valor atual destes equipamentos?</t>
  </si>
  <si>
    <t>A quem compra principalmente esta empresa as suas matérias-primas ou mercadorias?</t>
  </si>
  <si>
    <t>A quem vende principalmente esta empresa os seus produtos?</t>
  </si>
  <si>
    <t>Nos últimos 12 meses, a empresa deparou com os seguintes problemas no exercício da sua atividade?                                                                                                 
Escrever 1 para Sim, 2 para Não e 3 para Não abrangido</t>
  </si>
  <si>
    <r>
      <t xml:space="preserve">Qual foi o montante obtido com a revenda de mercadorias compradas e revendidas no estado em que se encontram </t>
    </r>
    <r>
      <rPr>
        <b/>
        <sz val="9"/>
        <rFont val="Arial Narrow"/>
        <family val="2"/>
      </rPr>
      <t>durante os últimos 30 dias ou durante o último mês em que a empresa funcionou</t>
    </r>
    <r>
      <rPr>
        <sz val="9"/>
        <rFont val="Arial Narrow"/>
        <family val="2"/>
      </rPr>
      <t xml:space="preserve">?                               </t>
    </r>
  </si>
  <si>
    <r>
      <t xml:space="preserve">Quanto despendeu na compra destas mercadorias revendidas no estado em que se encontram </t>
    </r>
    <r>
      <rPr>
        <b/>
        <sz val="9"/>
        <rFont val="Arial Narrow"/>
        <family val="2"/>
      </rPr>
      <t>durante os últimos 30 dias ou durante o último mês em que a empresa funcionou</t>
    </r>
    <r>
      <rPr>
        <sz val="9"/>
        <rFont val="Arial Narrow"/>
        <family val="2"/>
      </rPr>
      <t xml:space="preserve">?               </t>
    </r>
  </si>
  <si>
    <r>
      <t xml:space="preserve">Qual foi o montante obtido com a venda de produtos transformados pela empresa </t>
    </r>
    <r>
      <rPr>
        <b/>
        <sz val="9"/>
        <rFont val="Arial Narrow"/>
        <family val="2"/>
      </rPr>
      <t>durante os últimos 30 dias ou durante o último mês em que a empresa funcionou</t>
    </r>
    <r>
      <rPr>
        <sz val="9"/>
        <rFont val="Arial Narrow"/>
        <family val="2"/>
      </rPr>
      <t xml:space="preserve">?            </t>
    </r>
  </si>
  <si>
    <r>
      <t xml:space="preserve">Quanto despendeu na compra de matérias-primas para os produtos vendidos </t>
    </r>
    <r>
      <rPr>
        <b/>
        <sz val="9"/>
        <rFont val="Arial Narrow"/>
        <family val="2"/>
      </rPr>
      <t>durante os últimos 30 dias ou durante o último mês em que a empresa funcionou</t>
    </r>
    <r>
      <rPr>
        <sz val="9"/>
        <rFont val="Arial Narrow"/>
        <family val="2"/>
      </rPr>
      <t xml:space="preserve">?                    </t>
    </r>
  </si>
  <si>
    <r>
      <t xml:space="preserve">Qual foi o montante obtido com os serviços prestados pela empresa </t>
    </r>
    <r>
      <rPr>
        <b/>
        <sz val="9"/>
        <rFont val="Arial Narrow"/>
        <family val="2"/>
      </rPr>
      <t>durante os últimos 30 dias ou durante o último mês em que a empresa funcionou</t>
    </r>
    <r>
      <rPr>
        <sz val="9"/>
        <rFont val="Arial Narrow"/>
        <family val="2"/>
      </rPr>
      <t xml:space="preserve">?                     </t>
    </r>
  </si>
  <si>
    <r>
      <t xml:space="preserve">Quanto despendeu noutros consumos intermédios (telefone, transporte, materiais, etc.) </t>
    </r>
    <r>
      <rPr>
        <b/>
        <sz val="9"/>
        <rFont val="Arial Narrow"/>
        <family val="2"/>
      </rPr>
      <t>durante os últimos 30 dias ou durante o último mês em que a empresa funcionou</t>
    </r>
    <r>
      <rPr>
        <sz val="9"/>
        <rFont val="Arial Narrow"/>
        <family val="2"/>
      </rPr>
      <t xml:space="preserve">?  </t>
    </r>
  </si>
  <si>
    <r>
      <t xml:space="preserve">Quanto despendeu em despesas de arrendamento, água e eletricidade </t>
    </r>
    <r>
      <rPr>
        <b/>
        <sz val="9"/>
        <rFont val="Arial Narrow"/>
        <family val="2"/>
      </rPr>
      <t>durante os últimos 30 dias ou durante o último mês em que a empresa funcionou</t>
    </r>
    <r>
      <rPr>
        <sz val="9"/>
        <rFont val="Arial Narrow"/>
        <family val="2"/>
      </rPr>
      <t xml:space="preserve">? </t>
    </r>
  </si>
  <si>
    <r>
      <t xml:space="preserve">Quanto despendeu em despesas de serviços para utilizar ou alugar equipamentos </t>
    </r>
    <r>
      <rPr>
        <b/>
        <sz val="9"/>
        <rFont val="Arial Narrow"/>
        <family val="2"/>
      </rPr>
      <t>durante os últimos 30 dias ou durante o último mês em que a empresa funcionou</t>
    </r>
    <r>
      <rPr>
        <sz val="9"/>
        <rFont val="Arial Narrow"/>
        <family val="2"/>
      </rPr>
      <t xml:space="preserve">? </t>
    </r>
  </si>
  <si>
    <r>
      <t xml:space="preserve">Quanto despendeu noutras despesas e serviços </t>
    </r>
    <r>
      <rPr>
        <b/>
        <sz val="9"/>
        <rFont val="Arial Narrow"/>
        <family val="2"/>
      </rPr>
      <t>durante os últimos 30 dias ou durante o último mês em que a empresa funcionou</t>
    </r>
    <r>
      <rPr>
        <sz val="9"/>
        <rFont val="Arial Narrow"/>
        <family val="2"/>
      </rPr>
      <t>?  (reparação de equipamento, etc.)</t>
    </r>
  </si>
  <si>
    <r>
      <t xml:space="preserve">Qual foi o montante de imposto comercial pago pela empresa </t>
    </r>
    <r>
      <rPr>
        <b/>
        <sz val="9"/>
        <rFont val="Arial Narrow"/>
        <family val="2"/>
      </rPr>
      <t>nos últimos 12 meses</t>
    </r>
    <r>
      <rPr>
        <sz val="9"/>
        <rFont val="Arial Narrow"/>
        <family val="2"/>
      </rPr>
      <t xml:space="preserve">? </t>
    </r>
  </si>
  <si>
    <r>
      <t xml:space="preserve">Qual foi o montante dos outros impostos e taxas pagos pela empresa </t>
    </r>
    <r>
      <rPr>
        <b/>
        <sz val="9"/>
        <rFont val="Arial Narrow"/>
        <family val="2"/>
      </rPr>
      <t>nos últimos 12 meses</t>
    </r>
    <r>
      <rPr>
        <sz val="9"/>
        <rFont val="Arial Narrow"/>
        <family val="2"/>
      </rPr>
      <t xml:space="preserve">? </t>
    </r>
  </si>
  <si>
    <r>
      <t xml:space="preserve">Qual foi o montante das despesas administrativas não regulamentares pagas pela empresa </t>
    </r>
    <r>
      <rPr>
        <b/>
        <sz val="9"/>
        <rFont val="Arial Narrow"/>
        <family val="2"/>
      </rPr>
      <t>nos últimos 12 meses</t>
    </r>
    <r>
      <rPr>
        <sz val="9"/>
        <rFont val="Arial Narrow"/>
        <family val="2"/>
      </rPr>
      <t xml:space="preserve">? </t>
    </r>
  </si>
  <si>
    <t>Qual foi a ajuda mais importante que a empresa recebeu do governo para cumprir seus encargos durante a crise do COVID-19?</t>
  </si>
  <si>
    <t>A assistência recebida por esta empresa continuou?</t>
  </si>
  <si>
    <t xml:space="preserve">Esta empresa está atualmente em atividade?          </t>
  </si>
  <si>
    <t xml:space="preserve">Durante quantos meses esteve a empresa em atividade nos últimos 12 meses? </t>
  </si>
  <si>
    <t>Por que o negócio não funcionou o tempo todo nos últimos 12 meses?</t>
  </si>
  <si>
    <t>Mão de obra familiar que trabalhou nesta empresa nos últimos 12 meses</t>
  </si>
  <si>
    <t>Mão de obra assalariada que trabalhou nesta empresa nos últimos 30 dias ou no último mês em que a empresa funcionou</t>
  </si>
  <si>
    <t xml:space="preserve">A gestão da mão de obra foi afetada pelo COVID-19?
1 Sim
2 Não  ► Empresa seguinte </t>
  </si>
  <si>
    <t>O que mudou na gestão da mão de obra?                             1   Aumentou 2 Diminuiu 3 Não alterou 4 NC</t>
  </si>
  <si>
    <t>Prestar informações em baixo sobre cada membro do agregado familiar que tenha trabalhado na empresa,</t>
  </si>
  <si>
    <t>começando pelo chefe da empresa</t>
  </si>
  <si>
    <t>A. Código ID (número de ordem) da pessoa</t>
  </si>
  <si>
    <t>A. Número de pessoas da categoria que trabalharam na empresa durante este período</t>
  </si>
  <si>
    <t>Número de membros de agregado que trabalham para a empresa</t>
  </si>
  <si>
    <t>Número de pessoas externas que trabalham no agregado</t>
  </si>
  <si>
    <t>Tempo de trabalho das pessoas que trabalham para a empresa</t>
  </si>
  <si>
    <t>Salário das pessoas que trabalham para a empresa</t>
  </si>
  <si>
    <t>1. Fundos próprios</t>
  </si>
  <si>
    <t>Dificuldades de abastecimento em matérias-primas</t>
  </si>
  <si>
    <t>Dificuldades no fornecimento de matéria-prima devido ao COVID-19</t>
  </si>
  <si>
    <t xml:space="preserve">Falta de clientes devido ao COVID-19 </t>
  </si>
  <si>
    <t>Falta de clientela</t>
  </si>
  <si>
    <t>Demasiada concorrência</t>
  </si>
  <si>
    <t>Dificuldades de acesso ao crédito</t>
  </si>
  <si>
    <t>Dificuldades de recrutamento de pessoal qualificado</t>
  </si>
  <si>
    <t>Falta de instalações, de local adequado</t>
  </si>
  <si>
    <t>Dificuldades de acesso aos equipamentos</t>
  </si>
  <si>
    <t>Dificuldades técnicas de fabrico</t>
  </si>
  <si>
    <t>Aumento dos custos operacionais para cumprir as medidas de barreira contra COVID-19 (compra de sabonete, gel, máscara)</t>
  </si>
  <si>
    <t>Dificuldades técnicas de gestão</t>
  </si>
  <si>
    <t>Problemas de acesso a eletricidade</t>
  </si>
  <si>
    <t>Problemas de cortes de eletricidade</t>
  </si>
  <si>
    <t>Problemas ligados a outra infraestrutura (água, telefone)</t>
  </si>
  <si>
    <t>Problemas de ligação à Internet</t>
  </si>
  <si>
    <t>Limitação de horário de funcionamento pelas autoridades devido ao COVID-19</t>
  </si>
  <si>
    <t>Problemas de insegurança</t>
  </si>
  <si>
    <t>Excesso de regulamentação, impostos e taxas</t>
  </si>
  <si>
    <t>1. Menos de 25%</t>
  </si>
  <si>
    <t xml:space="preserve">1 Escritório, oficina, armazém, loja, garagem </t>
  </si>
  <si>
    <t>2. Ajuda de um dos parentes no país</t>
  </si>
  <si>
    <t>1. Falência</t>
  </si>
  <si>
    <t>B. Número de meses nos últimos 12 meses em que a pessoa trabalhou na empresa</t>
  </si>
  <si>
    <t>B. Número de dias em que uma pessoa da categoria trabalhou na empresa durante este período</t>
  </si>
  <si>
    <t>2. Entre 25 e 50%</t>
  </si>
  <si>
    <t>3. Ajuda de um dos parentes no estrangeiro</t>
  </si>
  <si>
    <t xml:space="preserve"> </t>
  </si>
  <si>
    <r>
      <t>1</t>
    </r>
    <r>
      <rPr>
        <sz val="8"/>
        <rFont val="Arial Narrow"/>
        <family val="2"/>
      </rPr>
      <t xml:space="preserve">. Setor público </t>
    </r>
  </si>
  <si>
    <t>2. Atividade sazonal</t>
  </si>
  <si>
    <t>3. Entre 50 e 75%</t>
  </si>
  <si>
    <t>1. Empresa em nome individual</t>
  </si>
  <si>
    <t>4. Empréstimo de outro agregado familiar</t>
  </si>
  <si>
    <r>
      <t xml:space="preserve">2. </t>
    </r>
    <r>
      <rPr>
        <sz val="8"/>
        <rFont val="Arial Narrow"/>
        <family val="2"/>
      </rPr>
      <t>Grande entidade comercial privada</t>
    </r>
  </si>
  <si>
    <t>3 Falta de clientes</t>
  </si>
  <si>
    <t>C. Quantos dias por mês dedica a pessoa à empresa?</t>
  </si>
  <si>
    <t>C. Número de horas diárias em que uma pessoa da categoria trabalhou na empresa durante este período</t>
  </si>
  <si>
    <t>4. Mais de 75%</t>
  </si>
  <si>
    <t>1 Proprietário</t>
  </si>
  <si>
    <t>5. Empréstimo de uma tontina/abota</t>
  </si>
  <si>
    <r>
      <t>3</t>
    </r>
    <r>
      <rPr>
        <sz val="8"/>
        <rFont val="Arial Narrow"/>
        <family val="2"/>
      </rPr>
      <t>. Pequena entidade comercial</t>
    </r>
  </si>
  <si>
    <t>1 Cancelamento de cobranças</t>
  </si>
  <si>
    <t>4. Falta de mão de obra</t>
  </si>
  <si>
    <t>1. Sim, transmitida à Direção-Geral de Contribuição e Impostos</t>
  </si>
  <si>
    <t>2. Cooperativas/Agrupamentos Complementares de Empresas</t>
  </si>
  <si>
    <t>6. Empréstimo bancário ou de APMF</t>
  </si>
  <si>
    <r>
      <t>4</t>
    </r>
    <r>
      <rPr>
        <sz val="8"/>
        <rFont val="Arial Narrow"/>
        <family val="2"/>
      </rPr>
      <t>. Grande entidade não comercial privada</t>
    </r>
  </si>
  <si>
    <t>2 Redução de cobranças</t>
  </si>
  <si>
    <t>5. Falta de matéria-prima / problemas técnicos</t>
  </si>
  <si>
    <t>D. Número de horas diárias que a pessoa dedicou à empresa</t>
  </si>
  <si>
    <t>D. Salário pago a uma pessoa da categoria que trabalhou na empresa durante este período (em francos FCA)</t>
  </si>
  <si>
    <t>7. Empréstimo/apoio de uma cooperativa</t>
  </si>
  <si>
    <t>6. Problemas de abastecimento devido a COVID-19</t>
  </si>
  <si>
    <t>8. Empréstimo/apoio de uma ONG</t>
  </si>
  <si>
    <r>
      <t>5</t>
    </r>
    <r>
      <rPr>
        <sz val="8"/>
        <rFont val="Arial Narrow"/>
        <family val="2"/>
      </rPr>
      <t>. Pequena entidade não comercial</t>
    </r>
  </si>
  <si>
    <t>3 Diferimento de cobranças</t>
  </si>
  <si>
    <t>7. Criado durante o ano</t>
  </si>
  <si>
    <t>2. Sim, não transmitida à Direção-Geral dos Impostos</t>
  </si>
  <si>
    <r>
      <t>6</t>
    </r>
    <r>
      <rPr>
        <sz val="8"/>
        <rFont val="Arial Narrow"/>
        <family val="2"/>
      </rPr>
      <t>. Agregado familiar/particular</t>
    </r>
  </si>
  <si>
    <t>8 Fechado por falta de pagamento de impostos</t>
  </si>
  <si>
    <r>
      <rPr>
        <b/>
        <sz val="8"/>
        <rFont val="Arial Narrow"/>
        <family val="2"/>
      </rPr>
      <t>7.</t>
    </r>
    <r>
      <rPr>
        <sz val="8"/>
        <rFont val="Arial Narrow"/>
        <family val="2"/>
      </rPr>
      <t xml:space="preserve"> Importações diretas</t>
    </r>
  </si>
  <si>
    <r>
      <rPr>
        <b/>
        <sz val="8"/>
        <rFont val="Arial Narrow"/>
        <family val="2"/>
      </rPr>
      <t>7.</t>
    </r>
    <r>
      <rPr>
        <sz val="8"/>
        <rFont val="Arial Narrow"/>
        <family val="2"/>
      </rPr>
      <t xml:space="preserve"> Exportações diretas</t>
    </r>
  </si>
  <si>
    <t>9 Fechado temporariamente devido ao COVID-19</t>
  </si>
  <si>
    <t>3. Outros (especificar)</t>
  </si>
  <si>
    <r>
      <rPr>
        <b/>
        <sz val="8"/>
        <rFont val="Arial Narrow"/>
        <family val="2"/>
      </rPr>
      <t>8.</t>
    </r>
    <r>
      <rPr>
        <sz val="8"/>
        <rFont val="Arial Narrow"/>
        <family val="2"/>
      </rPr>
      <t xml:space="preserve"> Apanha/colheita</t>
    </r>
  </si>
  <si>
    <t xml:space="preserve"> (ESCREVER ZERO NO CASO DE DESPESA NULA)</t>
  </si>
  <si>
    <t>4 Outro tipo de assistência (especificar)</t>
  </si>
  <si>
    <t>10. Problemas de saúde</t>
  </si>
  <si>
    <t>11. Insegurança, delinquência, banditismo</t>
  </si>
  <si>
    <t>3. Não, contabilidade inexistente</t>
  </si>
  <si>
    <t>3. NC</t>
  </si>
  <si>
    <r>
      <rPr>
        <b/>
        <sz val="8"/>
        <rFont val="Arial Narrow"/>
        <family val="2"/>
      </rPr>
      <t>9.</t>
    </r>
    <r>
      <rPr>
        <sz val="8"/>
        <rFont val="Arial Narrow"/>
        <family val="2"/>
      </rPr>
      <t xml:space="preserve"> Não abrangido</t>
    </r>
  </si>
  <si>
    <t>12. Instabilidade política</t>
  </si>
  <si>
    <t>13. Outros</t>
  </si>
  <si>
    <t>Adultos (15 anos ou mais)</t>
  </si>
  <si>
    <t>Crianças (menos de 15 anos)</t>
  </si>
  <si>
    <t>Prop. 1</t>
  </si>
  <si>
    <t>Prop. 2</t>
  </si>
  <si>
    <t>CÓDIGO DO RAMO</t>
  </si>
  <si>
    <t>Gerente 1</t>
  </si>
  <si>
    <t>Gerente 2</t>
  </si>
  <si>
    <t>Diretor 1</t>
  </si>
  <si>
    <t>Diretor 2</t>
  </si>
  <si>
    <t>NÚMERO DE MESES</t>
  </si>
  <si>
    <t>Pessoa 1</t>
  </si>
  <si>
    <t>Pessoa 2</t>
  </si>
  <si>
    <t>Pessoa 3</t>
  </si>
  <si>
    <t>Pessoa 4</t>
  </si>
  <si>
    <t>Homens</t>
  </si>
  <si>
    <t>Mulheres</t>
  </si>
  <si>
    <t>Rapazes</t>
  </si>
  <si>
    <t>Raparigas</t>
  </si>
  <si>
    <t>NOME</t>
  </si>
  <si>
    <t>Produto/serviço fabricado</t>
  </si>
  <si>
    <t>Meses</t>
  </si>
  <si>
    <t>Dias</t>
  </si>
  <si>
    <t>SECÇÃO 11: CARACTERÍSTICAS DA HABITAÇÃO</t>
  </si>
  <si>
    <t>Tipo de alojamento atual?</t>
  </si>
  <si>
    <r>
      <t xml:space="preserve">Quem é esse terceiro não pertencente ao agregado familiar que paga parcial ou totalmente a renda? </t>
    </r>
    <r>
      <rPr>
        <b/>
        <sz val="9"/>
        <rFont val="Arial Narrow"/>
        <family val="2"/>
      </rPr>
      <t>(Indique o mais importante)</t>
    </r>
  </si>
  <si>
    <t xml:space="preserve"> Durante os últimos 12 meses, o agregado familiar </t>
  </si>
  <si>
    <t>Apartamento num imóvel</t>
  </si>
  <si>
    <t>Baraca</t>
  </si>
  <si>
    <t>pagou reembolsos do crédito sobre este alojamento?</t>
  </si>
  <si>
    <t xml:space="preserve">Moradia </t>
  </si>
  <si>
    <t>Outro (especificar)</t>
  </si>
  <si>
    <t>Parente</t>
  </si>
  <si>
    <t>Vivenda ou casa individual</t>
  </si>
  <si>
    <t>Amigo ou outra pessoa</t>
  </si>
  <si>
    <t>Qual é o montante mensal destas prestações? (FCFA)</t>
  </si>
  <si>
    <t>Casa numa concessão</t>
  </si>
  <si>
    <t>Empregador privado</t>
  </si>
  <si>
    <t>Empresa pública</t>
  </si>
  <si>
    <t>Casas em banda (casernas)</t>
  </si>
  <si>
    <t>Governo</t>
  </si>
  <si>
    <t>Unidades independentes</t>
  </si>
  <si>
    <t>Qual é o montante mensal da renda, incluindo os benefícios associados ao alojamento (água, eletricidade, telefone, etc.) pago por este(s) terceiro(s)? (FCFA)</t>
  </si>
  <si>
    <t>Quantas divisões ocupa o agregado familiar?</t>
  </si>
  <si>
    <t>(NÃO INCLUIR COZINHAS, CASAS DE BANHO, CORREDORES, VARANDAS)</t>
  </si>
  <si>
    <t>O agregado familiar possui uma empresa que funciona no alojamento?</t>
  </si>
  <si>
    <t>O alojamento dispõe dos seguintes equipamentos?</t>
  </si>
  <si>
    <t>►►</t>
  </si>
  <si>
    <t>1Sim</t>
  </si>
  <si>
    <t>1 Sim                      2 Não</t>
  </si>
  <si>
    <r>
      <t xml:space="preserve">Quais são os membros do agregado familiar que figuram no título/escritura de propriedade? </t>
    </r>
    <r>
      <rPr>
        <b/>
        <sz val="9"/>
        <rFont val="Arial Narrow"/>
        <family val="2"/>
      </rPr>
      <t>Escrever 98 se nenhum membro do agregado familiar figurar no título de propriedade</t>
    </r>
  </si>
  <si>
    <t>Aparelhos de ar condicionado/splits que fazem parte do alojamento</t>
  </si>
  <si>
    <t>Qual é o principal material de construção das paredes exteriores?</t>
  </si>
  <si>
    <t>Caldeira (para água quente)</t>
  </si>
  <si>
    <t>Ventoinhas montadas no teto</t>
  </si>
  <si>
    <t>código ID da pessoa</t>
  </si>
  <si>
    <t>Cimento/betão/pedras de cantaria</t>
  </si>
  <si>
    <t>Qual é o seu estatuto de ocupação atual?</t>
  </si>
  <si>
    <t>Tijolo cozido</t>
  </si>
  <si>
    <t>6 Pedras simples (tradicionais)</t>
  </si>
  <si>
    <t>Alguma pessoa não pertencente ao agregado familiar figura no título/escritura de propriedade?</t>
  </si>
  <si>
    <t>Chapas de aluminio, vidros, etc.</t>
  </si>
  <si>
    <t>7  Palha, Banco, torrão de terra</t>
  </si>
  <si>
    <t xml:space="preserve">Proprietário com título ou escritura de propriedade </t>
  </si>
  <si>
    <t>Adobe ameliorado / semi-duro</t>
  </si>
  <si>
    <t>8  Outro (especificar)</t>
  </si>
  <si>
    <t xml:space="preserve">Proprietário sem título ou escritura de propriedade </t>
  </si>
  <si>
    <t>Materiais de recuperação (tábuas, chapas, etc.)</t>
  </si>
  <si>
    <t>9 Taipe/Adobe</t>
  </si>
  <si>
    <t xml:space="preserve">Coproprietário com título ou escritura </t>
  </si>
  <si>
    <t>Qual é o principal material do telhado?</t>
  </si>
  <si>
    <t xml:space="preserve">Coproprietário sem título ou escritura </t>
  </si>
  <si>
    <t>Quem é a pessoa não pertencente ao agregado familiar que figura no título de propriedade?</t>
  </si>
  <si>
    <t>Laje de cimento</t>
  </si>
  <si>
    <t>Palha</t>
  </si>
  <si>
    <t>Arrendatário</t>
  </si>
  <si>
    <t>►</t>
  </si>
  <si>
    <t>Telha</t>
  </si>
  <si>
    <t xml:space="preserve">  Outro (especificar)</t>
  </si>
  <si>
    <t xml:space="preserve">Alojado pela entidade patronal </t>
  </si>
  <si>
    <t>1 Parente</t>
  </si>
  <si>
    <t>Zinco</t>
  </si>
  <si>
    <t xml:space="preserve">Alojado gratuitamente pelos parentes/amigos) </t>
  </si>
  <si>
    <t>2 Amigo ou outra pessoa</t>
  </si>
  <si>
    <t>3 Outro (especificar)</t>
  </si>
  <si>
    <t>Taipe</t>
  </si>
  <si>
    <t xml:space="preserve">Qual é o montante (FCFA) pago por um alojamento como o seu na sua cidade ou bairro? </t>
  </si>
  <si>
    <t>Palha de cibe</t>
  </si>
  <si>
    <t>Qual é a razão principal para o agreagado familiar não possuir um título ou certificado de propriedade?</t>
  </si>
  <si>
    <t>Qual é o principal material de revestimento do alojamento?</t>
  </si>
  <si>
    <t>Não é exigido por lei</t>
  </si>
  <si>
    <t>Ladrilhos/marmoe</t>
  </si>
  <si>
    <t>As despesas de emissão são demasiado elevadas</t>
  </si>
  <si>
    <t>Cimento/Betão</t>
  </si>
  <si>
    <t>Repartição de registo demasiado distante</t>
  </si>
  <si>
    <t>Terrabatida/areia</t>
  </si>
  <si>
    <t>Processo em curso</t>
  </si>
  <si>
    <t>Excrementos de animais</t>
  </si>
  <si>
    <t>Qual é o valor do aluguel mensal? (FCFA)</t>
  </si>
  <si>
    <t xml:space="preserve"> Procedimento muito longo</t>
  </si>
  <si>
    <t>O agregado está conectada a uma rede de água corrente?</t>
  </si>
  <si>
    <t>Outro à especificar</t>
  </si>
  <si>
    <t>1  Sim</t>
  </si>
  <si>
    <t>Qual documento certifica seus direitos de propriedade?</t>
  </si>
  <si>
    <t>2  Não</t>
  </si>
  <si>
    <t>Factura de venda</t>
  </si>
  <si>
    <t xml:space="preserve">  Para os agregados familiares alojados pelo empregador ou outros, o serviço de água corrente está incluído na renda?</t>
  </si>
  <si>
    <t>A renda é paga parcial ou totalmente por um terceiro não pertencente ao agregado familiar?</t>
  </si>
  <si>
    <t>Factura dos impostos</t>
  </si>
  <si>
    <t>Documentos relativos a herança</t>
  </si>
  <si>
    <t>Outros a serem especificados</t>
  </si>
  <si>
    <t>Nenhum documento</t>
  </si>
  <si>
    <t>Qual é o valor da última conta de água? (Em FCFA)</t>
  </si>
  <si>
    <t>Você está satisfeito com esta água potável?</t>
  </si>
  <si>
    <t xml:space="preserve">O agregado familiar está ligado a uma rede elétrica? </t>
  </si>
  <si>
    <t>1  Sim, agregado familiar ligado a uma rede</t>
  </si>
  <si>
    <t>2  Sim, agregado familiar ligado ao vizinho</t>
  </si>
  <si>
    <t>Qual é a distância (em metros) do alojamento até a principal fonte de abastecimento de água potável durante a estação seca?</t>
  </si>
  <si>
    <t>Periodicidade da última fatura</t>
  </si>
  <si>
    <t>1 Semanal</t>
  </si>
  <si>
    <t xml:space="preserve">  Para os agregados familiares alojados pelo empregador ou outros, o serviço de eletricidade está incluído na renda?</t>
  </si>
  <si>
    <t>2 Mensal</t>
  </si>
  <si>
    <t>3 A cada 2 meses</t>
  </si>
  <si>
    <t>4 Trimestralmente</t>
  </si>
  <si>
    <t>Qual é o tempo (em minutos) para chegar à principal fonte de abastecimento de água potável durante a estação seca?</t>
  </si>
  <si>
    <t>Agregado familiar não alojado</t>
  </si>
  <si>
    <t>O agregado compra água de vendedores ou de outro agregado?</t>
  </si>
  <si>
    <t>De que tipo de subscrição dispõe o agregado familiar?</t>
  </si>
  <si>
    <t>Contador clássica</t>
  </si>
  <si>
    <t>4 Adicionado/ligado ao contador do vizinho</t>
  </si>
  <si>
    <t>Tempo gasto para ir</t>
  </si>
  <si>
    <t>Minutos</t>
  </si>
  <si>
    <t>Contador com cartao pré-pago</t>
  </si>
  <si>
    <t>5 Sem contador</t>
  </si>
  <si>
    <t>Os dois</t>
  </si>
  <si>
    <t>Qual o valor dessas despesas nos últimos 30 dias? (Em FCFA)</t>
  </si>
  <si>
    <t>Tempo gasto para se abastecer uma vez na fonte</t>
  </si>
  <si>
    <t>Horas/Minutos</t>
  </si>
  <si>
    <t>Qual foi o montante da última fatura de eletricidade?</t>
  </si>
  <si>
    <t>Qual é a distância (em metros) da residência até a principal fonte de abastecimento de água potável durante a estação das chuvas?</t>
  </si>
  <si>
    <t>Qual é a principal fonte de abastecimento de água potável no agregado?</t>
  </si>
  <si>
    <t>ÁGUA DA TORNEIRA</t>
  </si>
  <si>
    <t>Na habitação</t>
  </si>
  <si>
    <t>Qual é o tempo (em minutos) para chegar à fonte de abastecimento de água potável durante a estação das chuvas?</t>
  </si>
  <si>
    <t>4 Trimestral</t>
  </si>
  <si>
    <t>No pátio/concessão</t>
  </si>
  <si>
    <t>Estação seca</t>
  </si>
  <si>
    <t>Qual é a principal fonte de iluminação da habitação?</t>
  </si>
  <si>
    <t>Torneira do vizinho</t>
  </si>
  <si>
    <t>Eletricidade da rede</t>
  </si>
  <si>
    <t>Fontenário / torneira pública</t>
  </si>
  <si>
    <t>POÇO ABERTO</t>
  </si>
  <si>
    <t>Poço aberto no pátio/concessão</t>
  </si>
  <si>
    <t>Poço aberto noutro local</t>
  </si>
  <si>
    <t>POÇO COBERTO OU FURO</t>
  </si>
  <si>
    <t>Você faz alguma coisa para tornar a água potável mais saudável?</t>
  </si>
  <si>
    <t>Poço coberto no pátio/concessão</t>
  </si>
  <si>
    <t>Poço coberto noutro local</t>
  </si>
  <si>
    <t>Poço perfurado na concessão</t>
  </si>
  <si>
    <t>Nos últimos 7 dias, ocorreu pelo menos um corte de corrente elétrica na sua habitação?</t>
  </si>
  <si>
    <t>Poço perfurado noutro local</t>
  </si>
  <si>
    <t xml:space="preserve">ÁGUA DE SUPERFÍCIE </t>
  </si>
  <si>
    <t>Estação das chuvas</t>
  </si>
  <si>
    <t>Normalmente, o que você faz para tornar a água potável mais saudável?</t>
  </si>
  <si>
    <t>Fonte melhorada</t>
  </si>
  <si>
    <t>Fonte não melhorada</t>
  </si>
  <si>
    <t>(Responda a cada pergunta com Sim ou Não)</t>
  </si>
  <si>
    <t>1 Sim   2 Não</t>
  </si>
  <si>
    <t xml:space="preserve"> Durante quantos dias suportou pelo menos um corte de corrente  nos últimos 7 dias?</t>
  </si>
  <si>
    <t>Rio/regato/lago/represa</t>
  </si>
  <si>
    <t>A Ferver</t>
  </si>
  <si>
    <t>OUTRAS FONTES</t>
  </si>
  <si>
    <t>B Adicionar lixívia / cloro, comprimido</t>
  </si>
  <si>
    <t>Água engarrafada</t>
  </si>
  <si>
    <t>C Filtra com um pano</t>
  </si>
  <si>
    <t>Águas pluviais</t>
  </si>
  <si>
    <t>D Usa um filtro (cerâmica, areia, composto, etc.)</t>
  </si>
  <si>
    <t>Qual é o número médio de cortes registado por dia?</t>
  </si>
  <si>
    <t>Pacote de água</t>
  </si>
  <si>
    <t>E Desinfecção solar</t>
  </si>
  <si>
    <t>Vendedor de rua</t>
  </si>
  <si>
    <t>F Deixe assentar</t>
  </si>
  <si>
    <t>Número de cortes</t>
  </si>
  <si>
    <t>Outro( especificar)</t>
  </si>
  <si>
    <t>G Outro (especifique)</t>
  </si>
  <si>
    <t>Qual é a duração média de um corte?</t>
  </si>
  <si>
    <t>Qual é o tipo de ligação à Internet usado pelo agregado familiar?</t>
  </si>
  <si>
    <t>Que tipo de instalação sanitária utiliza o seu agregado familiar?</t>
  </si>
  <si>
    <t>Menos de 15 minutos</t>
  </si>
  <si>
    <t>Rede telefónica comutada (Modem)</t>
  </si>
  <si>
    <t>1 Sanita interior com descarga de água</t>
  </si>
  <si>
    <t>Entre 15 minutos e menos de 30 minutos</t>
  </si>
  <si>
    <t>ADSL</t>
  </si>
  <si>
    <t>2 Sanita exterior com descarga de água</t>
  </si>
  <si>
    <t>8. Latrinas de laje simples</t>
  </si>
  <si>
    <t>Entre 30 minutos e menos de uma hora</t>
  </si>
  <si>
    <t>Fibra ótica (alta velocidade)</t>
  </si>
  <si>
    <t>3.Sanita interior com descarga de água manual</t>
  </si>
  <si>
    <t>9. Fossa rudimentar/buraco a céu aberto</t>
  </si>
  <si>
    <t xml:space="preserve">Entre uma hora e menos de 3 horas </t>
  </si>
  <si>
    <t xml:space="preserve">Satélite </t>
  </si>
  <si>
    <t>4.Sanita exterior com descarga de água manual</t>
  </si>
  <si>
    <t xml:space="preserve">10.Casas de banho públicas </t>
  </si>
  <si>
    <t>Mais de 3 horas</t>
  </si>
  <si>
    <t>Acesso móvel (pen drive internet, etc.)</t>
  </si>
  <si>
    <t>5 Latrinas VIP (de laje, ventiladas)</t>
  </si>
  <si>
    <t xml:space="preserve">11.Nenhuma sanita (na natureza) </t>
  </si>
  <si>
    <t>O agregado familiar está ligado a uma rede fixa de telecomunicações?</t>
  </si>
  <si>
    <t>O agregado tem um canal de televisão por cabo, satelitte, TNT?</t>
  </si>
  <si>
    <t>6 Latrinas ECOSAN (de laje, cobertas)</t>
  </si>
  <si>
    <t>7 Latrinas SANPLAT (de laje, não cobertas)</t>
  </si>
  <si>
    <t>12. Outro (especificar)</t>
  </si>
  <si>
    <t>O agregado familiar partilha estas instalações sanitárias com outros agregados?</t>
  </si>
  <si>
    <t>Para os agregados familiares alojados, o serviço de telecomunicações fixas está incluído na renda?</t>
  </si>
  <si>
    <t>Para os agregados familiares alojados (empregador ou outros), a assinatura da televisão por cabo/satélite está incluída na renda?</t>
  </si>
  <si>
    <t>Quantos outros agregados familiares usam estas instalações sanitárias?</t>
  </si>
  <si>
    <t>Número:</t>
  </si>
  <si>
    <t xml:space="preserve"> Como são evacuados os dejetos no agregado?</t>
  </si>
  <si>
    <t>Qual foi o montante da última fatura de telefone fixo ou do último cartão pré-pago? (FCFA)</t>
  </si>
  <si>
    <t>Qual foi o montante da fatura do último mês? (Em FCFA)</t>
  </si>
  <si>
    <t>2 Fossa séptica</t>
  </si>
  <si>
    <t>7 Outro (especificar)</t>
  </si>
  <si>
    <t>3 Fossa estanque</t>
  </si>
  <si>
    <t>4 Fossa simples</t>
  </si>
  <si>
    <t>5 Compostagem</t>
  </si>
  <si>
    <t>Qual meio o agregado familiar usa para descartar os excrementos fora da habitação?</t>
  </si>
  <si>
    <t>Camião de limpeza de fossas séticas</t>
  </si>
  <si>
    <t>Esvaziamento manual</t>
  </si>
  <si>
    <t>Transferência para um buraco</t>
  </si>
  <si>
    <t xml:space="preserve">  </t>
  </si>
  <si>
    <t>Quais são os dois principais combustíveis utilizados</t>
  </si>
  <si>
    <t>Águas pluviais, curso de água</t>
  </si>
  <si>
    <t xml:space="preserve">O agregado familiar está ligado à Internet (incluindo Pen drive e telefone)? </t>
  </si>
  <si>
    <t xml:space="preserve"> na cozinha pelo agregado familiar?</t>
  </si>
  <si>
    <t>Qual é o principal método de evacuação das águas residuais utilizado na habitação?</t>
  </si>
  <si>
    <t>Lenha apanhada</t>
  </si>
  <si>
    <t>Fossa de retenção (fossa moderna)</t>
  </si>
  <si>
    <t>Para os agregados familiares alojados pelo empregador ou outros, o serviço de internet está incluído na renda?</t>
  </si>
  <si>
    <t>Carvão vegetal</t>
  </si>
  <si>
    <t>Esgotos</t>
  </si>
  <si>
    <t>Gás</t>
  </si>
  <si>
    <t>Buraco no terreno</t>
  </si>
  <si>
    <t>Eletricidade</t>
  </si>
  <si>
    <t>Na rua/natureza</t>
  </si>
  <si>
    <t>Não  ► (11,49)</t>
  </si>
  <si>
    <t>Petróleo/óleo</t>
  </si>
  <si>
    <t>A última vez que uma criança com menos de 5 anos defecou, como foram eliminadas as fezes?</t>
  </si>
  <si>
    <t>Qual foi o montante da última fatura ou quanto despendeu para recarregar a sua Pen drive de Internet? (em FCFA)</t>
  </si>
  <si>
    <t xml:space="preserve">  1  Utilizou sanitas/latrinas</t>
  </si>
  <si>
    <t>Como elimina o agregado familiar o lixo doméstico?</t>
  </si>
  <si>
    <t xml:space="preserve">  2 As fezes foram colocadas ou lançadas nas sanitas/latrinas</t>
  </si>
  <si>
    <t xml:space="preserve">  3 As fezes foram colocadas/lançadas nos esgotos ou na fossa sética</t>
  </si>
  <si>
    <t>Lixeira pública</t>
  </si>
  <si>
    <t>Lixeira selvagem</t>
  </si>
  <si>
    <t xml:space="preserve">  4 As fezes foram lançadas no lixo</t>
  </si>
  <si>
    <t xml:space="preserve">Recolha </t>
  </si>
  <si>
    <t xml:space="preserve">  5 As fezes foram enterradas</t>
  </si>
  <si>
    <t>Queimado pelo agregado familiar</t>
  </si>
  <si>
    <t xml:space="preserve">  6 As fezes foram colocadas/lançadas a céu aberto</t>
  </si>
  <si>
    <t>Enterrado pelo agregado familiar</t>
  </si>
  <si>
    <t xml:space="preserve">  7 Outro (especificar)</t>
  </si>
  <si>
    <t xml:space="preserve">  8 Ausência de crianças com menos de 5 anos</t>
  </si>
  <si>
    <t>Poderia me mostrar, se faz favor, onde os membros do agregado familiar lavam as mãos?</t>
  </si>
  <si>
    <t>Observe a presença de água e / ou sabão, detergente ou outros produtos de limpeza na área utilizada para lavar as mãos</t>
  </si>
  <si>
    <t>Os membros do agregado costumam lavar as mãos nas seguintes ocasiões?</t>
  </si>
  <si>
    <t>1 Ao sair do banheiro</t>
  </si>
  <si>
    <t>1 Observado, lugar fixo</t>
  </si>
  <si>
    <t>1 Apenas água</t>
  </si>
  <si>
    <t>2 antes de comer</t>
  </si>
  <si>
    <t>2 Observado, não fixo</t>
  </si>
  <si>
    <t xml:space="preserve">2 Apenas sabão ou detergente ou outro produto de limpeza (em pedaços, líquido, pó, pasta) </t>
  </si>
  <si>
    <t>3 Antes de preparar as refeições</t>
  </si>
  <si>
    <t>3 Não observado</t>
  </si>
  <si>
    <t>4 Antes de cuidar dos filhos</t>
  </si>
  <si>
    <t>3 Ambos/ Os dois</t>
  </si>
  <si>
    <t>5 depois de limpar as crianças</t>
  </si>
  <si>
    <t>SECÇÃO 12: ATIVOS DO AGREGADO FAMILIAR</t>
  </si>
  <si>
    <t>Escrever o codigo ID do respondente deste secçao</t>
  </si>
  <si>
    <t>BENS</t>
  </si>
  <si>
    <t>CÓDIGO DO BEM</t>
  </si>
  <si>
    <r>
      <t xml:space="preserve">O agregado familiar ou um membro do agregado familiar possui/dispõe de [BEM] em boas condições de funcionamento?               </t>
    </r>
    <r>
      <rPr>
        <sz val="8"/>
        <rFont val="Arial Narrow"/>
        <family val="2"/>
      </rPr>
      <t>1=Sim
2=Não   ►BEM SEGUINTE</t>
    </r>
  </si>
  <si>
    <t>Qual é o número de [BEM]?</t>
  </si>
  <si>
    <t xml:space="preserve">O bem pertence a um membro específico do agregado familiar? 
</t>
  </si>
  <si>
    <t xml:space="preserve">Qual é o CÓDIGO ID da(s) pessoa(s) que possui(em) estes bens?
</t>
  </si>
  <si>
    <t xml:space="preserve">Em que condições se encontrava o último bem quando foi adquirido?
1=Novo
2=Em segunda mão </t>
  </si>
  <si>
    <r>
      <t xml:space="preserve">Há quantos anos é possuidor de [BEM]?           </t>
    </r>
    <r>
      <rPr>
        <b/>
        <sz val="8"/>
        <rFont val="Arial Narrow"/>
        <family val="2"/>
      </rPr>
      <t>(SE FOREM VÁRIOS, CONSIDERAR A IDADE DO ÚLTIMO)</t>
    </r>
  </si>
  <si>
    <r>
      <t xml:space="preserve">Qual foi o valor de aquisição de [BEM]?                       </t>
    </r>
    <r>
      <rPr>
        <b/>
        <sz val="8"/>
        <rFont val="Arial Narrow"/>
        <family val="2"/>
      </rPr>
      <t>(SE FOREM VÁRIOS, CONSIDERAR O ÚLTIMO)</t>
    </r>
  </si>
  <si>
    <r>
      <t xml:space="preserve">Qual é o valor  (ou preço de revenda) atual de [BEM]?                   </t>
    </r>
    <r>
      <rPr>
        <b/>
        <sz val="8"/>
        <rFont val="Arial Narrow"/>
        <family val="2"/>
      </rPr>
      <t>(SE FOREM VÁRIOS, CONSIDERAR O ÚLTIMO)</t>
    </r>
  </si>
  <si>
    <t>DESCRITIVO</t>
  </si>
  <si>
    <t>Conjunto de sala de estar (poltronas e mesa de apoio)</t>
  </si>
  <si>
    <t>Mesa de jantar (mesa + cadeiras)</t>
  </si>
  <si>
    <t xml:space="preserve">Cama </t>
  </si>
  <si>
    <t>Colchão simples</t>
  </si>
  <si>
    <t>Armários e outros móveis</t>
  </si>
  <si>
    <t>Tapetes</t>
  </si>
  <si>
    <t>Ferro de passar elétrico</t>
  </si>
  <si>
    <t>Ferro de passar a carvão</t>
  </si>
  <si>
    <t>Fogão elétrico ou a gás</t>
  </si>
  <si>
    <t>Garrafa de gás</t>
  </si>
  <si>
    <t>Fogão (placa) elétrico ou a gás</t>
  </si>
  <si>
    <t>Forno micro-ondas ou elétrico</t>
  </si>
  <si>
    <t>Lareiras melhoradas</t>
  </si>
  <si>
    <t>Robô de cozinha elétrico (Trituradora)</t>
  </si>
  <si>
    <t>Misturador/máquina de sumos não elétrica</t>
  </si>
  <si>
    <t>Frigorífico</t>
  </si>
  <si>
    <t>Congelador</t>
  </si>
  <si>
    <t>Ventoinha de pé</t>
  </si>
  <si>
    <t>Rádio simples/leitor de cassetes</t>
  </si>
  <si>
    <t>Televisor</t>
  </si>
  <si>
    <t>Gravador vídeo/CD/DVD</t>
  </si>
  <si>
    <t>Antena parabólica/descodificador</t>
  </si>
  <si>
    <t>Máquina de lavar roupa, máquina de secar</t>
  </si>
  <si>
    <t>Aspirador</t>
  </si>
  <si>
    <t>Aparelhos de ar condicionado/splits</t>
  </si>
  <si>
    <t>Cortador de relva ou outro artigo de jardinagem</t>
  </si>
  <si>
    <t>Grupo gerador</t>
  </si>
  <si>
    <t>Viatura pessoal</t>
  </si>
  <si>
    <t>Ciclomotor/lambreta, motocicleta</t>
  </si>
  <si>
    <t>Bicicleta</t>
  </si>
  <si>
    <t>Máquina fotográfica</t>
  </si>
  <si>
    <t>Camescope</t>
  </si>
  <si>
    <t>Aparelhagem de estereofonia</t>
  </si>
  <si>
    <t>Telefone fixo</t>
  </si>
  <si>
    <t>Tablet</t>
  </si>
  <si>
    <t>Computador</t>
  </si>
  <si>
    <t>Impressora/fax</t>
  </si>
  <si>
    <t>Câmara de vídeo</t>
  </si>
  <si>
    <t>Piroga e motor fora de bordo (barcos de recreio)</t>
  </si>
  <si>
    <t>Espingardas de caça</t>
  </si>
  <si>
    <t>Guitarra</t>
  </si>
  <si>
    <t>Piano e outros instrumentos musicais</t>
  </si>
  <si>
    <t>Imóvel/casa</t>
  </si>
  <si>
    <t>Terreno não edificado</t>
  </si>
  <si>
    <t>SECÇÃO 13: TRANSFERÊNCIAS</t>
  </si>
  <si>
    <t xml:space="preserve"> PARTE A: TRANSFERÊNCIAS RECEBIDAS PELO AGREGADO FAMILIAR</t>
  </si>
  <si>
    <t>Algum membro do agregado familiar tem um parente próximo (pai, mãe, filho, irmão, irmã) que mora num país estrangeiro?</t>
  </si>
  <si>
    <t>Os parentes próximos mencionados acima enviaram dinheiro a um membro do agregado familiar nos últimos 12 meses?</t>
  </si>
  <si>
    <t>Algum membro do agregado familiar tem outros parentes (primo, primo, tio, tia, avós, neto, etc.) ou amigos que moram no exterior?</t>
  </si>
  <si>
    <t>Esses parentes ou amigos mencionados acima enviaram dinheiro a um membro do agregado familiar nos últimos 12 meses?</t>
  </si>
  <si>
    <t>Durante os últimos 12 meses, o agregado familiar ou um de seus membros recebeu dinheiro em mão (cash) por intermédio de um viajante, por uma empresa de transferência (Western Union, Money Gram, Wary, Ria etc.), banca móvel, fax, transportadoras de um parente ou qualquer outro -membro de agregado que mora no exterior?</t>
  </si>
  <si>
    <t>Nos últimos 12 meses, o agregado familiar ou um de seus membros recebeu algum dinheiro de seu filho, filha, pai, mãe, irmão, irmã, cônjuge ou outro membro do agregado que não vive no agregado, mas que mora no país?</t>
  </si>
  <si>
    <t>Nos últimos 12 meses, o agregado familiar ou qualquer membro dele recebeu algum dinheiro de alguma outra pessoa não membro do agregado familiar que vive no país?</t>
  </si>
  <si>
    <t>Durante os últimos 12 meses, o agregado familiar ou um de seus membros recebeu dinheiro em mão (cash) por meio de um viajante, por uma empresa de transferência (Western Union, Money Gram etc.), banca móvel, fax, transportadoras de um parente ou qualquer outra pessoa não membro do agregado que vive no país?</t>
  </si>
  <si>
    <t>NUMERO DE TRANSFERÊNCIA</t>
  </si>
  <si>
    <t xml:space="preserve"> Escreve o código ID do respondente.</t>
  </si>
  <si>
    <t>Código ID do beneficiário?</t>
  </si>
  <si>
    <t>Quem enviou / deu o dinheiro para [NOME]?</t>
  </si>
  <si>
    <t>Qual é o sexo do remetente?</t>
  </si>
  <si>
    <t>Qual é a idade do remetente?</t>
  </si>
  <si>
    <t>Qual é o nível de instrução do remetente?</t>
  </si>
  <si>
    <t>Qual é o estatuto profissional do remetente?</t>
  </si>
  <si>
    <t>O remetente já morou neste agregado?</t>
  </si>
  <si>
    <t>Há quantos anos (em anos completos) ele está fora do agregado? (Por exemplo, coloque 0 para menos de um ano)</t>
  </si>
  <si>
    <t>Qual é o local de residência do remetente?</t>
  </si>
  <si>
    <t>Qual é o principal motivo da transferência?</t>
  </si>
  <si>
    <t>Qual é o principal método de transferência?</t>
  </si>
  <si>
    <t>Qual é a frequência das transferências e o montante recebido de cada vez?
(Se o montante for regular, anotar o montante recebido nos últimos 12 meses)</t>
  </si>
  <si>
    <t>Quem controla principalmente a receita dessas transferências?</t>
  </si>
  <si>
    <t>1 Mesma Cidade/tabanca
2 Mesma região
3 Em outro lugar do país
4 Benin
5 Burkina
6 Cabo-Verde
7 Code Ivoire
8. Gambia
9. Gana
10. Guinée-Conacry
11. Guiné-Bissau
12 Liberia
13 Niger 
14 Nigeria
15 Mali
16 Serra-Leoa
17 Senegal
18 Togo
12. Outros paises na Africa
13. França
14. Espanha
15. Italia
16. Estados Unidos
17. Outros países fora de África                                                                                                                                                                                                                                                                                                   18. Portugal                                                                                                                                                                                                                                                                                                                                                  19. Luxemburgo                                                                                                                                                                                                                                                                                                                                     20. Inglaterra</t>
  </si>
  <si>
    <t>1 Escolaridade, educação</t>
  </si>
  <si>
    <t>1. Quadro superior</t>
  </si>
  <si>
    <t>2 Saúde, doença</t>
  </si>
  <si>
    <t>escrever 9999 para Não Sabe</t>
  </si>
  <si>
    <t>2. Quadro médio / supervisor intermediário2</t>
  </si>
  <si>
    <t>3 Apoio regular</t>
  </si>
  <si>
    <t>1 Sociedade de transferências
2 Banco
3 Correios
4 Mobile money (Mtn/orange)
5 Compensação
6 Cash (mão à mão)
7 Viajante
8 Comércio/Fax 
9 Sociedade de transportes
10 Outra</t>
  </si>
  <si>
    <t>2 Primário</t>
  </si>
  <si>
    <t>3. Trabalhador ou funcionário qualificado</t>
  </si>
  <si>
    <t>4 Apoio a trabalhos agrícolas</t>
  </si>
  <si>
    <t>1 cônjuge</t>
  </si>
  <si>
    <t>3 Secundário 1</t>
  </si>
  <si>
    <t>4. Trabalhador ou funcionário não qualificado</t>
  </si>
  <si>
    <t>2 Filhos</t>
  </si>
  <si>
    <t>1   Masculino</t>
  </si>
  <si>
    <t>4 Secundário 2</t>
  </si>
  <si>
    <t>5. Operário, governanta</t>
  </si>
  <si>
    <t>5 Apoio/arranque de uma empresa não-agrícola</t>
  </si>
  <si>
    <t>1 Mensal</t>
  </si>
  <si>
    <t>3 Pai, Mãe</t>
  </si>
  <si>
    <t>2   Feminino</t>
  </si>
  <si>
    <t>5 Médio</t>
  </si>
  <si>
    <t>6. Estagiário ou aprendiz remunerado</t>
  </si>
  <si>
    <t>2 Trimestral</t>
  </si>
  <si>
    <t>4 Irmão, irmã</t>
  </si>
  <si>
    <t>6 Superior</t>
  </si>
  <si>
    <t>3 Semestral</t>
  </si>
  <si>
    <t>5 Outro parente</t>
  </si>
  <si>
    <t>7 Não sabe</t>
  </si>
  <si>
    <t>7. Estagiário ou aprendiz não remunerado</t>
  </si>
  <si>
    <t xml:space="preserve">6  Festa/eventos  </t>
  </si>
  <si>
    <t>4 Anual</t>
  </si>
  <si>
    <t>6 Sem laços de parentesco</t>
  </si>
  <si>
    <t>7 Compra de terreno</t>
  </si>
  <si>
    <t>5 Irregular</t>
  </si>
  <si>
    <t>8. Trabalhador familiar contribuinte para uma empresa familiar</t>
  </si>
  <si>
    <t>8 Construção de uma casa</t>
  </si>
  <si>
    <t>9 Ajuda por causa do COVID-19</t>
  </si>
  <si>
    <t>9. Trabalhador de conta própria</t>
  </si>
  <si>
    <t>10 Outro (especificar)</t>
  </si>
  <si>
    <t>10. Patrão / Empregador</t>
  </si>
  <si>
    <t>11. Reformado</t>
  </si>
  <si>
    <t>12. Aluno/Estudante</t>
  </si>
  <si>
    <t>FCFA</t>
  </si>
  <si>
    <t>SEÇÃO 14A: COVID-19 E IMPACTO NOS AGREGADOS FAMILIARES</t>
  </si>
  <si>
    <t>14A.01</t>
  </si>
  <si>
    <t>14A.02</t>
  </si>
  <si>
    <t>14A.03</t>
  </si>
  <si>
    <t>14A.04</t>
  </si>
  <si>
    <t>14A.05</t>
  </si>
  <si>
    <t>14A.06</t>
  </si>
  <si>
    <t>14A.07</t>
  </si>
  <si>
    <t>14A.08</t>
  </si>
  <si>
    <t>14A.09</t>
  </si>
  <si>
    <t xml:space="preserve">Desde o início da pandemia em Março de 2020 </t>
  </si>
  <si>
    <t>Qual é o seu sexo?
1. Masculino 2. Feminino</t>
  </si>
  <si>
    <t>Qual é a sua idade?</t>
  </si>
  <si>
    <t>Qual é a sua relação com o chefe do agregado?
1. Cônjuge
2. Filho
3. Outro parente
4. Sem relação de parentesco</t>
  </si>
  <si>
    <t>O problema [...] foi resolvido ou continua?
1. Solução encontrada                                                                                                                                                                                                                                                                                                                        2. Continua ► Próxima linha</t>
  </si>
  <si>
    <t>Depois de quantos meses  [...] encontrou uma solução para o problema?</t>
  </si>
  <si>
    <t>NOMBRE</t>
  </si>
  <si>
    <t>Esteve doente com Coronavirus</t>
  </si>
  <si>
    <t>Sofreu com queda nas transferências de parentes que moram no exterior por conta do coronavírus</t>
  </si>
  <si>
    <t>Sofreu com queda nas transferências de parentes que moram no país por conta do coronavírus</t>
  </si>
  <si>
    <t>Sofreu com a queda dos produtos agrícolas devido ao coronavírus</t>
  </si>
  <si>
    <t>Evitou visitar parentes ou amigos dentro do país devido ao coronavírus</t>
  </si>
  <si>
    <t>Evitou visitar parentes ou amigos fora do país devido ao coronavírus</t>
  </si>
  <si>
    <t>Desistiu de uma viagem de negócios dentro do país devido ao coronavírus</t>
  </si>
  <si>
    <t>Desistiu de uma viagem de negócios para fora do país devido ao coronavírus</t>
  </si>
  <si>
    <t>SEÇÃO 14B: CHOQUES E ESTRATÉGIAS DE SOBREVIVÊNCIA</t>
  </si>
  <si>
    <t>As perguntas (14B.04) e (14B.05) (abaixo) são respondidas apenas para choques que ocorreram nos últimos 12 meses</t>
  </si>
  <si>
    <t>14B.00</t>
  </si>
  <si>
    <t>Código de identificação do respondente principal da seção:</t>
  </si>
  <si>
    <t>14B.01</t>
  </si>
  <si>
    <t>Natureza do choque</t>
  </si>
  <si>
    <t>14B.02</t>
  </si>
  <si>
    <t>14B.03</t>
  </si>
  <si>
    <t>14B.04</t>
  </si>
  <si>
    <t>14B.05</t>
  </si>
  <si>
    <t>Códigos para (14B.05)</t>
  </si>
  <si>
    <r>
      <t xml:space="preserve">Durante os </t>
    </r>
    <r>
      <rPr>
        <b/>
        <sz val="9"/>
        <rFont val="Arial Narrow"/>
        <family val="2"/>
      </rPr>
      <t>últimos 3 anos</t>
    </r>
    <r>
      <rPr>
        <sz val="9"/>
        <rFont val="Arial Narrow"/>
        <family val="2"/>
      </rPr>
      <t xml:space="preserve">, o agregado familiar foi afetada negativamente pelo seguinte problema?
</t>
    </r>
  </si>
  <si>
    <t>Quando ocorreu esse choque?
Se há mais de 12 meses, ► Próximo choque</t>
  </si>
  <si>
    <t>Como consequência deste [CHOQUE], o seu agregado familiar registou o aumento ou diminuição no seguinte [...]
(Leia as respostas propostas para cada coluna)</t>
  </si>
  <si>
    <r>
      <t xml:space="preserve">Qual foi a estratégia adotada pelo agregado após o [CHOQUE] para lidar com a situação?
</t>
    </r>
    <r>
      <rPr>
        <b/>
        <sz val="9"/>
        <rFont val="Arial Narrow"/>
        <family val="2"/>
      </rPr>
      <t>(Para cada choque, dê até 3 estratégias em ordem de importância. Se o tipo de choque ocorreu várias vezes nos últimos 3 anos, considere o evento mais recente. Use os códigos à direita).</t>
    </r>
  </si>
  <si>
    <t>1. Uso de poupança</t>
  </si>
  <si>
    <t>2. Ajuda de parentes ou amigos</t>
  </si>
  <si>
    <t>Código</t>
  </si>
  <si>
    <t>3. Ajuda governamental / estatal</t>
  </si>
  <si>
    <t>4. Ajuda de organizações religiosas ou ONGs</t>
  </si>
  <si>
    <t>5. Casar os filhos</t>
  </si>
  <si>
    <t>6. Mudança de hábitos de consumo (redução do número de refeições diárias, redução das quantidades consumidas, etc.)</t>
  </si>
  <si>
    <t>7. Comprando comida mais barata</t>
  </si>
  <si>
    <t>Rendimentos</t>
  </si>
  <si>
    <t>Bens</t>
  </si>
  <si>
    <t>Produção agricola</t>
  </si>
  <si>
    <t>Números de gados</t>
  </si>
  <si>
    <t>Stock de produtos alimentares</t>
  </si>
  <si>
    <t>Comptra de produtos alimentares</t>
  </si>
  <si>
    <t>8. Membros ativos da família empregados aceitaram empregos adicionais.</t>
  </si>
  <si>
    <t>2 Não ► Choque seguinte</t>
  </si>
  <si>
    <t>1º</t>
  </si>
  <si>
    <t>2º</t>
  </si>
  <si>
    <t>3º</t>
  </si>
  <si>
    <t>9. Membros adultos (pelo menos 15 anos de idade) inativos ou desempregados aceitaram empregos</t>
  </si>
  <si>
    <t>Doença grave ou acidente de um membro do agregado familiar</t>
  </si>
  <si>
    <t>Morte de um membro da famíliar</t>
  </si>
  <si>
    <t>10. Crianças menores de 15 anos foram obrigadas a trabalhar</t>
  </si>
  <si>
    <t>Divórcio, separação</t>
  </si>
  <si>
    <t>11. As crianças foram retiradas da escola</t>
  </si>
  <si>
    <t>Seca / chuvas irregulares</t>
  </si>
  <si>
    <t>12. Migração de membros da família</t>
  </si>
  <si>
    <t>Inundações</t>
  </si>
  <si>
    <t>13. Redução de despesas com saúde / educação</t>
  </si>
  <si>
    <t>Incêndios</t>
  </si>
  <si>
    <t>14. Obtenção de um empréstimo</t>
  </si>
  <si>
    <t>Alta taxa de doenças nas colheitas</t>
  </si>
  <si>
    <t>15. Venda de ativos agrícolas</t>
  </si>
  <si>
    <t>Alta taxa de doenças animais</t>
  </si>
  <si>
    <t>16. Venda de bens domésticos duráveis</t>
  </si>
  <si>
    <t>Queda significativa nos preços dos produtos agrícolas</t>
  </si>
  <si>
    <t>17. Venda de terrenos / edifícios / casas</t>
  </si>
  <si>
    <t>Preços altos de insumos agrícolas</t>
  </si>
  <si>
    <t>18. Aluguer / penhora do seu terreno</t>
  </si>
  <si>
    <t>Preços altos dos alimentos</t>
  </si>
  <si>
    <t>19. Venda de estoques de alimentos</t>
  </si>
  <si>
    <t>Fim das transferências regulares de outros agregados familiares</t>
  </si>
  <si>
    <t>20. Maior prática da pesca</t>
  </si>
  <si>
    <t>Perda significativa de renda do agregado familiar fora da fazenda (exceto devido a acidente ou doença)</t>
  </si>
  <si>
    <t>21. Venda de gado</t>
  </si>
  <si>
    <t>Falência de uma empresa familiar não agrícola</t>
  </si>
  <si>
    <t>22. Confiar as crianças a outras famílias</t>
  </si>
  <si>
    <t>Perda significativa de renda salarial (exceto devido a acidente ou doença)</t>
  </si>
  <si>
    <t>23. Envolvido em atividades espirituais (orações, sacrifícios, consulta com um marabu, ...)</t>
  </si>
  <si>
    <t>Perda do emprego assalariado de um membro</t>
  </si>
  <si>
    <t>24. Prática de cultivo fora da estação</t>
  </si>
  <si>
    <t>Roubo de dinheiro, propriedade, safras ou gado</t>
  </si>
  <si>
    <t>25. Outra estratégia (a ser especificada)</t>
  </si>
  <si>
    <t>Conflito de fazendeiros / pastores</t>
  </si>
  <si>
    <t>26. Nenhuma estratégia</t>
  </si>
  <si>
    <t>Conflito armado / violência / insegurança</t>
  </si>
  <si>
    <t>Ataques de gafanhotos ou outras pragas de plantações</t>
  </si>
  <si>
    <t>Deslizamento de terra</t>
  </si>
  <si>
    <t>Outro especificar)</t>
  </si>
  <si>
    <t>SECÇÃO 15: REDES DE SEGURANÇA</t>
  </si>
  <si>
    <t xml:space="preserve">(15.00)  Escreva o código ID do respondente principal da secção:    </t>
  </si>
  <si>
    <t>CÓDIGO DO PROGRAMA</t>
  </si>
  <si>
    <t>Você ou algum outro membro do agregado já ouviu falar do [PROGRAMA]?</t>
  </si>
  <si>
    <t xml:space="preserve">Nos últimos 12 meses, o agregado familiar ou um dos seus membros se inscreveu para o [PROGRAMA] abaixo? </t>
  </si>
  <si>
    <t>Por que você não se inscreveu em [PROGRAMA]?</t>
  </si>
  <si>
    <t>Durante os últimos 12 meses, o agregado ou um de seus membros se beneficiou do [PROGRAMA] abaixo?</t>
  </si>
  <si>
    <t>Por que o agregado ou um de seus membros não se beneficiou?</t>
  </si>
  <si>
    <t>Foi todo o seu agregado que se beneficiou dessa assistência ou algumas pessoas específicas?</t>
  </si>
  <si>
    <t>Quais são os números de ordem dos membros do agregado que beneficiaram com esta assistência?</t>
  </si>
  <si>
    <t>Quem controla principalmente a receita dessa assistência ”, prever dois códigos para a resposta</t>
  </si>
  <si>
    <t>Durante os últimos 12 meses, quantas vezes o agregado recebeu essa assistência?</t>
  </si>
  <si>
    <t>Durante os últimos 12 meses, por quanto tempo o agregado recebeu essa assistência?
Marque o número de meses ou dias e a unidade de tempo escolhida</t>
  </si>
  <si>
    <t>Em que data (mês de 2 dígitos e ano de 4 dígitos) o agregado familiar recebeu esta assistência pela última vez nos últimos 12 meses?</t>
  </si>
  <si>
    <t>Você teve alguma dificuldade para receber o último pagamento do [PROGRAMA]?</t>
  </si>
  <si>
    <t>Qual foi a principal dificuldade em receber o último pagamento deste [PROGRAMA]?</t>
  </si>
  <si>
    <t>Se a pessoa não for mais membro do agregado, escreva 98</t>
  </si>
  <si>
    <t>As bolsas de estudo, pensões (reforma, invalidez) e os subsídios para fertilizantes /adubos agrícolas não são considerados nos programas abaixo</t>
  </si>
  <si>
    <t>As bolsas de estudo, as pensões (reforma, invalidez) e os subsídios a fertilizantes/adubos agrícolas não são tidos em conta nos programas abaixos</t>
  </si>
  <si>
    <t>1. Não elegível
2. Problema técnico no ponto de pagamento
3. Distância até o ponto de pagamento muito longa
4. Ausência de pessoal no ponto de pagamento
5. Paragem temporário do programa devido ao COVID-19
6. Outro (a ser especificado)</t>
  </si>
  <si>
    <t>1 Problemas técnicos no ponto de pagamento</t>
  </si>
  <si>
    <t>2 Não  ► Programa seguinte</t>
  </si>
  <si>
    <t>2 Distância muito longe</t>
  </si>
  <si>
    <t>Unidade de Tempo</t>
  </si>
  <si>
    <t>3 Tempo de espera muito longa</t>
  </si>
  <si>
    <t>2 Não ►Linha seguinte</t>
  </si>
  <si>
    <t xml:space="preserve">2 Individuo </t>
  </si>
  <si>
    <t>4 Ausência de pessoal</t>
  </si>
  <si>
    <t>5 Outro (a ser especificado)</t>
  </si>
  <si>
    <t xml:space="preserve"> Individuo  1</t>
  </si>
  <si>
    <t xml:space="preserve"> Individuo  2</t>
  </si>
  <si>
    <t xml:space="preserve"> Individuo  3</t>
  </si>
  <si>
    <t xml:space="preserve"> Individuo 4</t>
  </si>
  <si>
    <t>►►Linha seguinte</t>
  </si>
  <si>
    <t xml:space="preserve">Doação de cereais (arroz, milho preto, bacil, cavalo e trigo) </t>
  </si>
  <si>
    <t>Doação de farinhas de cereais (sêmola)</t>
  </si>
  <si>
    <t>Doação de alimentos para alunos na escola</t>
  </si>
  <si>
    <t>Alimentos a troco de trabalho</t>
  </si>
  <si>
    <t>Suplemento alimentar para crianças subnutridas</t>
  </si>
  <si>
    <t>Obras públicas de mão de obra intensiva 
(dinheiro pelo trabalho)</t>
  </si>
  <si>
    <t xml:space="preserve">Transferências de dinheiro do governo / ONG, etc. </t>
  </si>
  <si>
    <t>Programa de tratamento de mulheres grávidas</t>
  </si>
  <si>
    <t>Cuidados para crianças com menos de 5 anos</t>
  </si>
  <si>
    <t xml:space="preserve">Doação de mosquiteiro impregnado </t>
  </si>
  <si>
    <t>Materias de prevenção do Covid-19 (Mascaras, gel, balde de lavagem de mãos, etc)</t>
  </si>
  <si>
    <t>Lista dos campos e parcelas exploradas pelo agregado familiar</t>
  </si>
  <si>
    <t>SECÇÃO 16: AGRICULTURA</t>
  </si>
  <si>
    <r>
      <rPr>
        <b/>
        <sz val="11"/>
        <rFont val="Arial Narrow"/>
        <family val="2"/>
      </rPr>
      <t xml:space="preserve">(16A.00) </t>
    </r>
    <r>
      <rPr>
        <sz val="11"/>
        <rFont val="Arial Narrow"/>
        <family val="2"/>
      </rPr>
      <t xml:space="preserve">Pelo menos um membro do agregado familiar cultivou terras (incluindo culturas perenes) de sua propriedade ou não, durante a campanha de inverno de 2021/2022? </t>
    </r>
  </si>
  <si>
    <t xml:space="preserve">PARTE A: PARCELAS </t>
  </si>
  <si>
    <t xml:space="preserve">1=Sim 
2=Não ► Secção 17 </t>
  </si>
  <si>
    <t>Número de identificação da parcela</t>
  </si>
  <si>
    <t>(16A.01)</t>
  </si>
  <si>
    <t>(16A.02)</t>
  </si>
  <si>
    <t>(16A.03)</t>
  </si>
  <si>
    <t>(16A.04)</t>
  </si>
  <si>
    <t>(16A.05)</t>
  </si>
  <si>
    <t>(16A.06)</t>
  </si>
  <si>
    <t>(16A.07)</t>
  </si>
  <si>
    <t>(16A.08)</t>
  </si>
  <si>
    <t>(16A.09)</t>
  </si>
  <si>
    <t>(16A.10)</t>
  </si>
  <si>
    <t>(16A.11)</t>
  </si>
  <si>
    <t>(16A.12)</t>
  </si>
  <si>
    <t>(16A.13)</t>
  </si>
  <si>
    <t>(16A.14)</t>
  </si>
  <si>
    <t>(16A.14a)</t>
  </si>
  <si>
    <t>(16A.14b)</t>
  </si>
  <si>
    <t>(16A.15)</t>
  </si>
  <si>
    <t>(16A.16)</t>
  </si>
  <si>
    <t>(16A.17)</t>
  </si>
  <si>
    <t>(16A.18)</t>
  </si>
  <si>
    <t>(16A.19)</t>
  </si>
  <si>
    <t>(16A.20)</t>
  </si>
  <si>
    <t>(16A.21)</t>
  </si>
  <si>
    <t>(16A.22)</t>
  </si>
  <si>
    <t>(16A.23)</t>
  </si>
  <si>
    <t>(16A.24)</t>
  </si>
  <si>
    <t>(16A.25)</t>
  </si>
  <si>
    <t>(16A.26)</t>
  </si>
  <si>
    <t>(16A.27)</t>
  </si>
  <si>
    <t>(16A.28)</t>
  </si>
  <si>
    <t>(16A.29)</t>
  </si>
  <si>
    <t>(16A.30)</t>
  </si>
  <si>
    <t>(16A.31)</t>
  </si>
  <si>
    <t>(16A.32)</t>
  </si>
  <si>
    <t>(16A.33)</t>
  </si>
  <si>
    <t>(16A.34)</t>
  </si>
  <si>
    <t>(16A.35)</t>
  </si>
  <si>
    <t>(16A.36)</t>
  </si>
  <si>
    <t>(16A.37)</t>
  </si>
  <si>
    <t>(16A.38)</t>
  </si>
  <si>
    <t>(16A.39)</t>
  </si>
  <si>
    <t>(16A.40)</t>
  </si>
  <si>
    <t>(16A.41)</t>
  </si>
  <si>
    <t>(16A.42)</t>
  </si>
  <si>
    <t>(16A.43)</t>
  </si>
  <si>
    <t>(16A.44)</t>
  </si>
  <si>
    <t>(16A.45)</t>
  </si>
  <si>
    <t>(16A.46)</t>
  </si>
  <si>
    <t>(16A.47)</t>
  </si>
  <si>
    <t>(16A.48)</t>
  </si>
  <si>
    <t>Número
 de ordem do campo</t>
  </si>
  <si>
    <t>Número da  parcela  no campo</t>
  </si>
  <si>
    <t>Qual é o número de ordem do respondente relativo a esta parcela?</t>
  </si>
  <si>
    <r>
      <t>Qual é número de ordem da pessoa que explora a parcela?</t>
    </r>
    <r>
      <rPr>
        <i/>
        <sz val="11"/>
        <rFont val="Arial Narrow"/>
        <family val="2"/>
      </rPr>
      <t xml:space="preserve"> (</t>
    </r>
    <r>
      <rPr>
        <sz val="11"/>
        <rFont val="Arial Narrow"/>
        <family val="2"/>
      </rPr>
      <t>Utilize as identificações da secção B das características demográficas do agregado familiar)</t>
    </r>
  </si>
  <si>
    <t>Quantas culturas existem nesta parcela para a campanha de 2021/2022?</t>
  </si>
  <si>
    <t xml:space="preserve">Qual é a principal cultura desta parcela durante a campanha de 2021/2022?
</t>
  </si>
  <si>
    <r>
      <t>Qual é a área da parcela segundo o explorador (</t>
    </r>
    <r>
      <rPr>
        <i/>
        <sz val="11"/>
        <rFont val="Arial Narrow"/>
        <family val="2"/>
      </rPr>
      <t>Especificar a área em hectares ou em metros quadrados com duas casas decimais</t>
    </r>
    <r>
      <rPr>
        <sz val="11"/>
        <rFont val="Arial Narrow"/>
        <family val="2"/>
      </rPr>
      <t>)
Unidade: 
1. Hectare (Ha)
2. Metro quadrado (m</t>
    </r>
    <r>
      <rPr>
        <vertAlign val="superscript"/>
        <sz val="11"/>
        <rFont val="Arial Narrow"/>
        <family val="2"/>
      </rPr>
      <t>2</t>
    </r>
    <r>
      <rPr>
        <sz val="11"/>
        <rFont val="Arial Narrow"/>
        <family val="2"/>
      </rPr>
      <t>)</t>
    </r>
  </si>
  <si>
    <t xml:space="preserve">Qual é o modelo de ocupaçao desta parcela?                                                                                                                                                                                                                                                 </t>
  </si>
  <si>
    <r>
      <t>Qual é número de ordem do proprietário da parcela?</t>
    </r>
    <r>
      <rPr>
        <i/>
        <sz val="11"/>
        <rFont val="Arial Narrow"/>
        <family val="2"/>
      </rPr>
      <t xml:space="preserve"> (Utilize as identificações da secção das características demográficas do agregado familiar)</t>
    </r>
  </si>
  <si>
    <t xml:space="preserve">Qual é o modo de aquisição desta parcela?
                                                                                                                                                                                                                                                 1=Compra                                
2=Herança
3=Casamento                                                                                                                     4=Doação                                                                                                                                                                                                                                                                                                          5=Empréstimo                                                                                                                  6=Outro (especificar)                                                                                                                                                
</t>
  </si>
  <si>
    <t>Quais são os membros do agregado familiar que figuram neste documento legal?</t>
  </si>
  <si>
    <t>Quais são os membros que têm o direito de vender esta parcela?</t>
  </si>
  <si>
    <t>Quem são os membros que têm o direito de transmitir esta parcela como herança?</t>
  </si>
  <si>
    <t>Qual é a principal fonte de preocupação?</t>
  </si>
  <si>
    <t>Qual é a principal fonte de abastecimento de água desta parcela?</t>
  </si>
  <si>
    <t>Qual é o tipo de solo desta parcela?</t>
  </si>
  <si>
    <t>Qual é a topografia desta parcela?</t>
  </si>
  <si>
    <t>Como avalia a fertilidade desta parcela?</t>
  </si>
  <si>
    <t>Quanto tempo precisa  percorrer com meio usual entre esta parcela e a habitação?</t>
  </si>
  <si>
    <r>
      <t>Qual foi o principal modo de aquisição destes resíduos animais?
1=Estrumação direta
2=Estrumação indireta                                                        3=Compra
4</t>
    </r>
    <r>
      <rPr>
        <b/>
        <sz val="11"/>
        <rFont val="Arial Narrow"/>
        <family val="2"/>
      </rPr>
      <t>=</t>
    </r>
    <r>
      <rPr>
        <sz val="11"/>
        <rFont val="Arial Narrow"/>
        <family val="2"/>
      </rPr>
      <t>Animais próprios</t>
    </r>
    <r>
      <rPr>
        <b/>
        <sz val="11"/>
        <rFont val="Arial Narrow"/>
        <family val="2"/>
      </rPr>
      <t xml:space="preserve"> 
</t>
    </r>
    <r>
      <rPr>
        <sz val="11"/>
        <rFont val="Arial Narrow"/>
        <family val="2"/>
      </rPr>
      <t xml:space="preserve">5=Outro (especificar)
</t>
    </r>
  </si>
  <si>
    <t xml:space="preserve">"Que quantidade de estrume você aplicou no terreno?
[Digite 98 para os casos de estrumamento direto ou indireto em que o respondente não pode determinar a quantidade]
Código da Unidade
1 = Kg
2 = Saco grande
3 = Saco médio
4 = Saco pequeno
5 = Carrinho de burro
6 = Carrinho de carne
7 = Balde
8 = Cesta                                                                                                                                                                                                                                                                                                                                                  9= Caminhão basculante                                                                                                                                                                                                                                                                                                                     10= Outro a especificar "                                                                                                                                                                                                                                                                                                                                </t>
  </si>
  <si>
    <t>Utilizou lixo doméstico e outros nesta parcela durante esta campanha?
1=Sim
2=Não►(16A.30)</t>
  </si>
  <si>
    <t>Quantas vezes aplicou lixo doméstico nesta parcela durante esta campanha?</t>
  </si>
  <si>
    <t>Utizou adubos inorgânicos/químicos nesta parcela durante esta campanha? 
1=Sim
2=Não►(16A.30)</t>
  </si>
  <si>
    <t>Quantas vezes aplicou adubo inorgânico nesta parcela durante esta campanha?</t>
  </si>
  <si>
    <t>Adubos inorgânicos/químicos</t>
  </si>
  <si>
    <t xml:space="preserve">Produtos fitossanitários </t>
  </si>
  <si>
    <t>Em relação aos membros do agregado familiar que trabalharam na parcela durante o período de preparação da terra e da sementeira, o número de dias trabalhado por cada pessoa</t>
  </si>
  <si>
    <t>Em relação aos membros do agregado familiar que trabalharam na parcela para a monda ou manutenção do solo, o número de dias trabalhado por cada pessoa</t>
  </si>
  <si>
    <t>Em relação aos membros do agregado familiar que trabalharam na parcela durante as colheitas, o número de dias trabalhado por cada pessoa</t>
  </si>
  <si>
    <t>Em relação à mão de obra não familiar que trabalhou na parcela durante o período de preparação da terra (lavoura) e da sementeira, indique o número de pessoas de cada categoria, o número total de dias trabalhado por cada categoria e o salário total pago a cada categoria de pessoas</t>
  </si>
  <si>
    <t>Em relação à mão de obra não familiar que trabalhou na parcela durante o período de manutenção do solo (monda, etc.), indique o número de pessoas de cada categoria, o número total de dias trabalhado por cada categoria e o salário total pago a cada categoria de pessoas</t>
  </si>
  <si>
    <t>Em relação à mão de obra não familiar que trabalhou na parcela durante o período das colheitas, indique o número de pessoas de cada categoria, o número total de dias trabalhado por cada categoria e o salário total pago a cada categoria de pessoas</t>
  </si>
  <si>
    <t>Qual é o modo de lavoura da parcela durante a campanha de 2021/2022?
1=Sem lavoura
2=Manual                                                                                                     3=Rebocado                                                                                                     4=Motorizado</t>
  </si>
  <si>
    <t>Coordenadas GPS da parcela</t>
  </si>
  <si>
    <t>Qual é a área da parcela (em hectares) de acordo com as medidas GPS?                                                                                            ►► (parcela seguinte)</t>
  </si>
  <si>
    <t>Qual a razão principal para a parcela não ter sido medida?
1=Demasiado pequena
2=GPS avariado
3=Indisponibilidade do agregado
4= Demasiado distante
5 = Outra (especificar)</t>
  </si>
  <si>
    <t>(COMEÇAR POR ELABORAR A LISTA DE TODOS OS CAMPOS E EM SEGUIDA DAS PARCELAS NOS CAMPOS EXPLORADOS PELO AGREGADO FAMILIAR EM 2021/2022)</t>
  </si>
  <si>
    <t xml:space="preserve"> Código da Unidade: 1=Quilograma   2=Tonelada   3=Saco    4=Outro</t>
  </si>
  <si>
    <r>
      <t>Que quantidade de pesticidas utilizou?
E</t>
    </r>
    <r>
      <rPr>
        <b/>
        <sz val="11"/>
        <rFont val="Arial Narrow"/>
        <family val="2"/>
      </rPr>
      <t xml:space="preserve">screver zero se não tiverem sido utilizados pesticidas                               Código da Unidade
</t>
    </r>
    <r>
      <rPr>
        <sz val="11"/>
        <rFont val="Arial Narrow"/>
        <family val="2"/>
      </rPr>
      <t xml:space="preserve">1=Grama
2=Kg                                                                                                                                                        3=Litros
4=Saquinho
</t>
    </r>
  </si>
  <si>
    <r>
      <t xml:space="preserve">Que quantidade de fungicidas utilizou?
</t>
    </r>
    <r>
      <rPr>
        <b/>
        <sz val="11"/>
        <rFont val="Arial Narrow"/>
        <family val="2"/>
      </rPr>
      <t xml:space="preserve">Escrever zero se não tiverem sido utilizados fungicidas                               Código da Unidade
</t>
    </r>
    <r>
      <rPr>
        <sz val="11"/>
        <rFont val="Arial Narrow"/>
        <family val="2"/>
      </rPr>
      <t xml:space="preserve">1=Grama
2=Kg                                                                                                                                                        3=Litros
4=Saquinho
</t>
    </r>
  </si>
  <si>
    <r>
      <t xml:space="preserve">Que quantidade de herbicidas utilizou?
</t>
    </r>
    <r>
      <rPr>
        <b/>
        <sz val="11"/>
        <rFont val="Arial Narrow"/>
        <family val="2"/>
      </rPr>
      <t xml:space="preserve">Escrever zero se não tiverem sido utilizados herbicidas                               Código da Unidade
</t>
    </r>
    <r>
      <rPr>
        <sz val="11"/>
        <rFont val="Arial Narrow"/>
        <family val="2"/>
      </rPr>
      <t xml:space="preserve">1=Grama
2=Kg                                                                                                                                                        3=Litros
4=Saquinho
</t>
    </r>
  </si>
  <si>
    <r>
      <t xml:space="preserve">Que quantidade de outros produtos fitossanitários (raticidas, etc.) utilizou?
</t>
    </r>
    <r>
      <rPr>
        <b/>
        <sz val="11"/>
        <rFont val="Arial Narrow"/>
        <family val="2"/>
      </rPr>
      <t xml:space="preserve">Escrever zero se não tiverem sido utilizados outros produtos                               Código da Unidade
</t>
    </r>
    <r>
      <rPr>
        <sz val="11"/>
        <rFont val="Arial Narrow"/>
        <family val="2"/>
      </rPr>
      <t xml:space="preserve">1=Grama
2=Kg                                                                                                                                                        3=Litros
4=Saquinho
</t>
    </r>
  </si>
  <si>
    <t>(Utilize as identificações da secção das características demográficas do agregado familiar)</t>
  </si>
  <si>
    <r>
      <t>Que quantidade de ureia utilizou?
E</t>
    </r>
    <r>
      <rPr>
        <b/>
        <sz val="11"/>
        <rFont val="Arial Narrow"/>
        <family val="2"/>
      </rPr>
      <t xml:space="preserve">screver zero se não tiver sido utilizada ureia
</t>
    </r>
  </si>
  <si>
    <r>
      <t>Que quantidade de fosfatos utilizou?
E</t>
    </r>
    <r>
      <rPr>
        <b/>
        <sz val="11"/>
        <rFont val="Arial Narrow"/>
        <family val="2"/>
      </rPr>
      <t xml:space="preserve">screver zero se não tiverem sido utilizados fosfatos
</t>
    </r>
  </si>
  <si>
    <r>
      <t>Que quantidade de NPK/Fórmula única utilizou?
E</t>
    </r>
    <r>
      <rPr>
        <b/>
        <sz val="11"/>
        <rFont val="Arial Narrow"/>
        <family val="2"/>
      </rPr>
      <t xml:space="preserve">screver zero se não tiver sido utilizado NPK
</t>
    </r>
  </si>
  <si>
    <r>
      <t>Que quantidade de DAP ou outros adubos químicos utilizou?
E</t>
    </r>
    <r>
      <rPr>
        <b/>
        <sz val="11"/>
        <rFont val="Arial Narrow"/>
        <family val="2"/>
      </rPr>
      <t xml:space="preserve">screver zero se não tiverem sido utilizados outros adubos químicos
</t>
    </r>
  </si>
  <si>
    <t>1=Arenoso</t>
  </si>
  <si>
    <t>2=Empréstimo a título gratuito ►(16A.17)</t>
  </si>
  <si>
    <t xml:space="preserve">1=Litígio sobre limites de terreno 
2=Propriedade: ligada à herança
3=Propriedade: ligada à venda
4=Propriedade: expropriação
5=Outra (especificar) 
</t>
  </si>
  <si>
    <t>2=Limoso</t>
  </si>
  <si>
    <t>1=Colina</t>
  </si>
  <si>
    <t>1 = Irrigação, poço próprio</t>
  </si>
  <si>
    <t>3=Argiloso</t>
  </si>
  <si>
    <t>2=Planície</t>
  </si>
  <si>
    <t>1=Boa</t>
  </si>
  <si>
    <t>2 = Irrigação canal</t>
  </si>
  <si>
    <t>4=Talude</t>
  </si>
  <si>
    <t>3=Declive suave</t>
  </si>
  <si>
    <t>2=Média</t>
  </si>
  <si>
    <t>3 = Irrigação regato</t>
  </si>
  <si>
    <t>5=Outro</t>
  </si>
  <si>
    <t>4=Declive acentuado</t>
  </si>
  <si>
    <t>3=Fraca</t>
  </si>
  <si>
    <t>4 = Pluvial</t>
  </si>
  <si>
    <t>5=Vale</t>
  </si>
  <si>
    <t>5 = Pântano/"wetlands"</t>
  </si>
  <si>
    <t>6=Outro</t>
  </si>
  <si>
    <t>6 = Outro (especificar)</t>
  </si>
  <si>
    <t>Quantidade</t>
  </si>
  <si>
    <t>Unidade</t>
  </si>
  <si>
    <t>Indivíduo 1</t>
  </si>
  <si>
    <t>Indivíduo 2</t>
  </si>
  <si>
    <t>Indivíduo 3</t>
  </si>
  <si>
    <t>Indivíduo 4</t>
  </si>
  <si>
    <t>Indivíduo 5</t>
  </si>
  <si>
    <t>Indivíduo 6</t>
  </si>
  <si>
    <t>Indivíduo 7</t>
  </si>
  <si>
    <t>Indivíduo 8</t>
  </si>
  <si>
    <t>Homens (15 anos ou mais)</t>
  </si>
  <si>
    <t>Mulheres (15 anos ou mais)</t>
  </si>
  <si>
    <t>Rapazes (menos de 15 anos)</t>
  </si>
  <si>
    <t>Raparigas (menos de 15 anos)</t>
  </si>
  <si>
    <t>NOME (ATRIBUÍDO AO LOCAL)</t>
  </si>
  <si>
    <t>N.º</t>
  </si>
  <si>
    <t>MINUTOS</t>
  </si>
  <si>
    <t xml:space="preserve"> ID</t>
  </si>
  <si>
    <t>Efetivo</t>
  </si>
  <si>
    <t>Salários</t>
  </si>
  <si>
    <t>Latitude</t>
  </si>
  <si>
    <t>Longitude</t>
  </si>
  <si>
    <t>HA</t>
  </si>
  <si>
    <t>13</t>
  </si>
  <si>
    <t>14</t>
  </si>
  <si>
    <t>15</t>
  </si>
  <si>
    <t>PARTE B: CUSTO DOS INSUMOS</t>
  </si>
  <si>
    <r>
      <t xml:space="preserve">(16B.00) </t>
    </r>
    <r>
      <rPr>
        <sz val="9"/>
        <rFont val="Arial Narrow"/>
        <family val="2"/>
      </rPr>
      <t>Qual é o código ID do respondente?</t>
    </r>
  </si>
  <si>
    <t>(16B.01)</t>
  </si>
  <si>
    <t>(16B.02)</t>
  </si>
  <si>
    <t>(16B.03)</t>
  </si>
  <si>
    <t>(16B.04)</t>
  </si>
  <si>
    <t>(16B.05)</t>
  </si>
  <si>
    <t>(16B.06)</t>
  </si>
  <si>
    <t>(16B.07)</t>
  </si>
  <si>
    <t>(16B.08)</t>
  </si>
  <si>
    <t>(16B.09)</t>
  </si>
  <si>
    <t>Tipo de insumos</t>
  </si>
  <si>
    <t>Utilizou [INSUMO]?
1=Sim
2=Não ►INSUMO SEGUINTE</t>
  </si>
  <si>
    <t xml:space="preserve">Recorda-se da quantidade total de [INSUMO] utilizada durante a estação das chuvas de 2021/2022?
01=Grama     
02=Quilograma   
03=Tonelada   
04=Litro   
05=Carroça 
06= Saco                            07=Bacia                            08=Outras (a precisar)      
</t>
  </si>
  <si>
    <t>Onde adquiriu a maior parte de [INSUMO]?
1=Cooperativa
2=Mercado/loja
3=Autoprodução
4=Outro lavrador ou agregado familiar 
5=Animais no campo
6= Estrutura estatal
7= Banco cerealífero
8=Outro (especificar)</t>
  </si>
  <si>
    <t xml:space="preserve">Obteve algum [INSUMO] sob forma de presente ou doação?
1=Sim
2=Não ► (16B.08)
</t>
  </si>
  <si>
    <t>Junto de quem você recebeu seu presente / doação principalmente?
1 = Outro agregado familiar
2 = Estado
3 = ONG
4 = Associação / Grupo de Aldeia
5 = Outro (a ser especificado)</t>
  </si>
  <si>
    <t xml:space="preserve">Na sua opinião, qual é a quantidade de [INSUMO] recebida na forma de presente ou doação?
01=Grama     
02=Quilograma   
03=Tonelada   
04=Litro   
05=Carroça 
06= Saco                            07=Bacia                            08=Outra (a precisar)      
</t>
  </si>
  <si>
    <t>Comprou algum [INSUMO]?
1=Sim
2=Não ►Insumo seguinte</t>
  </si>
  <si>
    <t xml:space="preserve">Qual é a quantidade e o valor total de [INSUMO] comprados?
01=Grama     
02=Quilograma   
03=Tonelada   
04=Litro   
05=Carroça 
06= Saco                                                              07=Bacia                                                               08=Outras (a precisar)      
</t>
  </si>
  <si>
    <t>Descritivo</t>
  </si>
  <si>
    <t>Adubos orgânicos - estrume animal</t>
  </si>
  <si>
    <t>Adubos orgânicos - lixo doméstico</t>
  </si>
  <si>
    <t>Adubos inorgânicos - ureia</t>
  </si>
  <si>
    <t>Adubos inorgânicos - fosfatos</t>
  </si>
  <si>
    <t>Adubos inorgânicos - 
NPK/Fórmula única</t>
  </si>
  <si>
    <t>DAP e outros adubos inorgânicos</t>
  </si>
  <si>
    <t>Produtos fitossanitários - 
Pesticidas</t>
  </si>
  <si>
    <t>Produtos fitossanitários - 
Herbicidas</t>
  </si>
  <si>
    <t>Produtos fitossanitários - 
Fungicidas</t>
  </si>
  <si>
    <t>Outros produtos 
fitossanitários</t>
  </si>
  <si>
    <t xml:space="preserve">Sementes de  milho preto </t>
  </si>
  <si>
    <t>Sementes de milho cavalo</t>
  </si>
  <si>
    <t>Sementes de milho bacil</t>
  </si>
  <si>
    <t xml:space="preserve">Sementes de arroz </t>
  </si>
  <si>
    <t xml:space="preserve">Outros Sementes de cereais </t>
  </si>
  <si>
    <t>Sementes de algodão</t>
  </si>
  <si>
    <t>Sementes de sésamo</t>
  </si>
  <si>
    <t>Sementes de feijão</t>
  </si>
  <si>
    <t>Plantas, cordas/caules de tuberculos</t>
  </si>
  <si>
    <t>Sementes de mancarra</t>
  </si>
  <si>
    <t xml:space="preserve">Outras sementes 
</t>
  </si>
  <si>
    <t>Lista das culturas nos campos e parcelas explorados pelo agregado familiar</t>
  </si>
  <si>
    <t>PARTE C: CULTURAS</t>
  </si>
  <si>
    <t>Número de identificação da cultura na parcela</t>
  </si>
  <si>
    <t>(16C.01)</t>
  </si>
  <si>
    <t>(16C.02)</t>
  </si>
  <si>
    <t>(16C.03)</t>
  </si>
  <si>
    <t>(16C.04)</t>
  </si>
  <si>
    <t>(16C.05)</t>
  </si>
  <si>
    <t>(16C.06)</t>
  </si>
  <si>
    <t>(16C.07)</t>
  </si>
  <si>
    <t>(16C.08)</t>
  </si>
  <si>
    <t>(16C.09)</t>
  </si>
  <si>
    <t>Número de ordem do campo</t>
  </si>
  <si>
    <t>Número de ordem da parcela</t>
  </si>
  <si>
    <t>Código da cultura</t>
  </si>
  <si>
    <t>Nome da cultura na parcela
(escrever os nomes das culturas praticadas no agregado familiar e o código correspondente em 16C.04)</t>
  </si>
  <si>
    <t>Qual é número de ordem do respondente relativo a esta cultura nesta parcela?</t>
  </si>
  <si>
    <t>Que percentagem da parcela ocupou esta cultura?</t>
  </si>
  <si>
    <t>Que tipo de semente você usou principalmente para esta cultura?
1 = locais
2 = Melhorado (novo)
3 = Melhorado (reciclado)</t>
  </si>
  <si>
    <t>Que Quantidade de semente você aplicou na parcela?
(Para culturas perenes, coloque 9999)
Código:
1 = grama
2 = kilograma</t>
  </si>
  <si>
    <t>"Terminou de colher esta cultura?
1 = Sim ► (16C.16)
2 = Não                         3 = Sem colheita ► (16C.14) "</t>
  </si>
  <si>
    <t>Por que você não conseguiu colher toda a superfície do terreno ou por que perdeu toda a colheita?
1 = Seca
2 = Fogo
3 = insetos
4 = Animais
5 = Roubos
6 = Doença de planta
7 = Falta de mão de obra
8 = Outro</t>
  </si>
  <si>
    <t>Qual porcentagem do terreno foi perdida?
Se 100% da parcela ► Próxima cultura</t>
  </si>
  <si>
    <t>Código Unidade:</t>
  </si>
  <si>
    <t>(CONTINUAR COM A MESMA ORDEM DOS CAMPOS E PARCELAS DA SECÇÃO 16A E ENUMERAR, PARA CADA PARCELA, TODAS AS CULTURAS, UMA CULTURA POR LINHA E POR PARCELA)</t>
  </si>
  <si>
    <t xml:space="preserve">1=Kg, 2=Unidade, 3=Bacia, 4=Tina, 5=Saco Pequeno, 6=Saco Médio, 7=Saco grande, 8=Balde, 9=Outra (especificar)                                                                                                                                                  </t>
  </si>
  <si>
    <t>Registamos a quantidade de acordo com a UML declarada na coluna seguinte. Na coluna ESTADO, o estado do produto é especificado em consistência com a quantidade e a unidade declarada. Na coluna Equivalente em Kg, indicamos o peso em kg de UMA UML no estado indicado</t>
  </si>
  <si>
    <t>Código Estado:</t>
  </si>
  <si>
    <t xml:space="preserve">1 = espiga/catcho, 2 = grão, 3 = descascado, 4= Não descascado, 5=NA </t>
  </si>
  <si>
    <t>Quantidade em
UML</t>
  </si>
  <si>
    <t>UML</t>
  </si>
  <si>
    <t>Equivalente em kg para 1 UML</t>
  </si>
  <si>
    <t>Estado do produto</t>
  </si>
  <si>
    <t>PERCENTAGENS</t>
  </si>
  <si>
    <t>POURCENTS</t>
  </si>
  <si>
    <t>PARTE D: UTILIZAÇÃO DA PRODUÇÃO</t>
  </si>
  <si>
    <r>
      <t>Qual é a quantidade já consumida no agregado familiar? 
(escrever 0 se o consumo for nulo, escrever a quantidade consumida em UML da coluna seguinte)</t>
    </r>
    <r>
      <rPr>
        <i/>
        <sz val="8"/>
        <rFont val="Arial Narrow"/>
        <family val="2"/>
      </rPr>
      <t xml:space="preserve">
 </t>
    </r>
    <r>
      <rPr>
        <i/>
        <sz val="9"/>
        <rFont val="Arial Narrow"/>
        <family val="2"/>
      </rPr>
      <t xml:space="preserve">
</t>
    </r>
  </si>
  <si>
    <t>Qual é a quantidade deste produto oferecido (donativo/presente) a outros agregados familiares? 
(Escrever 0 se não tiverem sido feitas doações, escrever a quantidade doada em UML da coluna seguinte)</t>
  </si>
  <si>
    <r>
      <t xml:space="preserve">Qual é a quantidade já vendida deste produto?
(escrever nesta coluna a quantidade vendida em UML da coluna seguinte) </t>
    </r>
    <r>
      <rPr>
        <i/>
        <sz val="8"/>
        <rFont val="Arial Narrow"/>
        <family val="2"/>
      </rPr>
      <t xml:space="preserve"> 
   </t>
    </r>
    <r>
      <rPr>
        <sz val="8"/>
        <rFont val="Arial Narrow"/>
        <family val="2"/>
      </rPr>
      <t xml:space="preserve">   </t>
    </r>
  </si>
  <si>
    <t>Qual foi a receita da venda deste produto?</t>
  </si>
  <si>
    <t>Quem é a pessoa que controla a receita dessa venda? (Digite o número do ID  da pessoa)</t>
  </si>
  <si>
    <r>
      <rPr>
        <sz val="9"/>
        <rFont val="Arial Narrow"/>
        <family val="2"/>
      </rPr>
      <t xml:space="preserve">Para quem você vendeu principalmente?
</t>
    </r>
    <r>
      <rPr>
        <sz val="8"/>
        <rFont val="Arial Narrow"/>
        <family val="2"/>
      </rPr>
      <t>1 = Mercado
2 = Família / Individual
3 = Cooperativa
4 = Operador privado
5 = Estado
6 = Bancos de cereais
5 = Outro (a  especificado)</t>
    </r>
  </si>
  <si>
    <t>Quel revenu avez vous tiré de la vente des résidus de [CULTURA]?</t>
  </si>
  <si>
    <r>
      <t xml:space="preserve">Qual é o principal método de armazenamento dessa cultura?
</t>
    </r>
    <r>
      <rPr>
        <sz val="8"/>
        <rFont val="Arial Narrow"/>
        <family val="2"/>
      </rPr>
      <t>1=Celeiro na concessão                                                                                                                                                                                                                                                                                                     2=Celeiro no exterior                                                                                                                                                                                                                                                                                                 3=Armazém                                                                                                                                                                                                                                                                                                                                 4=Hangar/Barraca                                                                                                                                                                                                                                                                                                                 5=Telhado da casa
6= Nenhum método de armazenamento                                                                                                                                                                                                                                                                                                                    7=Outro (especificar)</t>
    </r>
  </si>
  <si>
    <r>
      <t>Qual é a quantidade armazenada deste produto da presente campanha (em celeiro e fora de celeiro)?
(escrever nesta coluna a quantidade armazenada em UML da coluna seguinte)</t>
    </r>
    <r>
      <rPr>
        <i/>
        <sz val="8"/>
        <rFont val="Arial Narrow"/>
        <family val="2"/>
      </rPr>
      <t xml:space="preserve">
</t>
    </r>
  </si>
  <si>
    <r>
      <t>Que quantidade prevê vender da que tem armazenada?
(escrever nesta coluna a quantidade armazenada em UML da coluna seguinte)</t>
    </r>
    <r>
      <rPr>
        <i/>
        <sz val="8"/>
        <rFont val="Arial Narrow"/>
        <family val="2"/>
      </rPr>
      <t xml:space="preserve">
</t>
    </r>
  </si>
  <si>
    <t>Depara com dificuldades para escoar o produto?                                                                                                                                                                                                        1=Sim                                                                                                                                                                                                                                                                                                                                   2=Não ► Cultura Seguinte</t>
  </si>
  <si>
    <t>Quais são as duas principais dificuldades encontradas na venda deste produto?                                                                                                                                                    1 = Distância das estradas
2 = Distância dos mercados
3 = Mercados inacessíveis devido a COVID-19
4 = Custos de transporte elevados
5 = Estrada intransitável
6 = Falta de clientes
7 = Preços baixos
8 = Insegurança
9 = Outro (a ser especificado)
►►Próxima Cultura</t>
  </si>
  <si>
    <t>REPORTAR AS CULTURAS LISTADAS NA SEÇÃO ANTERIOR
(Inserir os nomes das culturas cultivadas no agregado e o código correspondente em 16C.04)</t>
  </si>
  <si>
    <t>1=Kg, 2=Unidade, 3=Bacia, 4=Tina, 5=Saco Pequeno, 6=Saco Médio, 7=Saco grande, 8=Balde, 9=Outra (especificar)</t>
  </si>
  <si>
    <t>1 = espiga/catcho, 2 = grão, 3 = descascado, 4= Não descascado, 5=NA</t>
  </si>
  <si>
    <t>Quantidade em UML</t>
  </si>
  <si>
    <t xml:space="preserve">UML                            </t>
  </si>
  <si>
    <t>Montante em FCFA</t>
  </si>
  <si>
    <t>Dificuldade 1</t>
  </si>
  <si>
    <t>Dificuldade  2</t>
  </si>
  <si>
    <t xml:space="preserve">NOME DA CULTURA </t>
  </si>
  <si>
    <t>CODIGO ID</t>
  </si>
  <si>
    <t>SECÇÃO 17: PECUÁRIA</t>
  </si>
  <si>
    <r>
      <rPr>
        <b/>
        <sz val="9"/>
        <rFont val="Arial Narrow"/>
        <family val="2"/>
      </rPr>
      <t>(17.00)</t>
    </r>
    <r>
      <rPr>
        <sz val="9"/>
        <rFont val="Arial Narrow"/>
        <family val="2"/>
      </rPr>
      <t xml:space="preserve"> Nos últimos 12 meses, o agregado familiar ou um dos seus membros possuiu ou criou animais que lhe pertenciam ou que pertenciam ao outro agregado?</t>
    </r>
  </si>
  <si>
    <t xml:space="preserve">1 = Possui animais que confiou ou criou animais que lhe pertenciam ou que pertenciam ao outro agregado familiar </t>
  </si>
  <si>
    <t>2 = Não possui e não cria animais ► Secção 18</t>
  </si>
  <si>
    <t xml:space="preserve">Nos últimos 12 meses, o AF criou [...]; Seja do proprio AF ou é confiado a ele por outros AF?
1=Sim
2=Não ►Linha seguinte 
</t>
  </si>
  <si>
    <t>Qual é o código do respondente?</t>
  </si>
  <si>
    <r>
      <t xml:space="preserve">Quantos [...] compreende atualmente o rebanho/manada?                                                                                                                                                                                                                        </t>
    </r>
    <r>
      <rPr>
        <i/>
        <sz val="8"/>
        <rFont val="Arial Narrow"/>
        <family val="2"/>
      </rPr>
      <t>(Escrever 0 se nenhum, caso todos os animais tenham sido abatidos nos últimos 12 meses)</t>
    </r>
  </si>
  <si>
    <r>
      <t xml:space="preserve">Quantos [...] pertencem ao próprio agregado familiar?                                                                                                                                                                                                                        </t>
    </r>
    <r>
      <rPr>
        <i/>
        <sz val="8"/>
        <rFont val="Arial Narrow"/>
        <family val="2"/>
      </rPr>
      <t xml:space="preserve">(Escrever 0 se nenhum)
</t>
    </r>
    <r>
      <rPr>
        <sz val="8"/>
        <rFont val="Arial Narrow"/>
        <family val="2"/>
      </rPr>
      <t>Se 0 ►</t>
    </r>
    <r>
      <rPr>
        <b/>
        <sz val="8"/>
        <rFont val="Arial Narrow"/>
        <family val="2"/>
      </rPr>
      <t>(17.08)</t>
    </r>
  </si>
  <si>
    <t>A quem pertencem os […] e quantas cabeças possui este membro do agregado familiar e quem decide sobre a venda destes animais?
Código para o vendedor
1 = A própria pessoa
2 = Outra pessoa</t>
  </si>
  <si>
    <t xml:space="preserve">Quantos [...] vivos comprou nos últimos 12 meses?                                                                                                                                                                                              (Escrever 0 se nenhum)                                                                                                                                                                                                                                                                                                     Se 0 ► (17.10)
</t>
  </si>
  <si>
    <t xml:space="preserve">Qual é o valor da compra destes (…)?
</t>
  </si>
  <si>
    <t xml:space="preserve">Quantos [...] vivos do rebanho/manada vendeu nos últimos 12 meses?                                                                                                                                                                                                                                                                                                                                                                                                                                                                                                                                                   (Escrever 0 se nenhum)                                                                                                                                                                                                                                                                                                     Se 0 ► (17.16)
</t>
  </si>
  <si>
    <t>Quem decidiu vender  [..] no agregado familiar?</t>
  </si>
  <si>
    <t>Que percentagem da receita da venda destes [..] reverte para o agregado familiar?</t>
  </si>
  <si>
    <t>Qual é o valor bruto da venda destes [...]?</t>
  </si>
  <si>
    <t>Quanto suportou em despesas de transporte, comissões e taxas sobre a venda destes [...]?</t>
  </si>
  <si>
    <t xml:space="preserve">Quais são os números de ordem das duas pessoas principais que controlam as receitas provenientes desta venda?                                                                                                                                                    (Escrever o código ID destas pessoas, utilizando a lista dos membros do agregado familiar)                                                                                                                                                                                                                                                                                                                
</t>
  </si>
  <si>
    <t xml:space="preserve">Abateu os seus [...] nos últimos 12 meses para a produção de carne?                                                                                                                                                                    1=Sim
2=Não ► (17.28) 
                                                                                                                                                                                                                                                                                                                                                                                                                                                                                                                                   </t>
  </si>
  <si>
    <t>Quem decide quais os [..]  que devem ser abatidos no agregado familiar?</t>
  </si>
  <si>
    <t xml:space="preserve">Quantos dos seus [...] abateu nos últimos 12 meses para os eventos seguintes?
                                                                                                                                                                                                            </t>
  </si>
  <si>
    <t xml:space="preserve">Vendeu uma parte da carne de [...] nos últimos 12 meses?                                                                                                                                                                    1=Sim
2=Não ► (17.23) </t>
  </si>
  <si>
    <t>Que percentagem do rendimento da venda desses [...] vai para o agregado?
1 = 100%
2 = 75% (3/4)
3 = 66% (2/3)
4 = 50% (1/2)
5 = 33% (1/3)
6 = 25% (1/4)
7 = 0%</t>
  </si>
  <si>
    <t>Qual foi o montante da venda nos últimos 12 meses?</t>
  </si>
  <si>
    <t xml:space="preserve">Quais são as duas pessoas principais que controlam as receitas provenientes desta venda?                                                                                                                                                    (Escrever o código ID destas pessoas, utilizando a lista dos membros do agregado familiar)                                                                                                                                                                                                                                                                                                                
</t>
  </si>
  <si>
    <t xml:space="preserve">Suportou encargos específicos (despesas de abate, fornecimentos, transporte, etc.) relativos à produção da carne?
1=Sim
2=Não ► (17.25) 
</t>
  </si>
  <si>
    <t xml:space="preserve">Qual é o montante mensal destes encargos?
</t>
  </si>
  <si>
    <t xml:space="preserve">Vendeu peles de [...] nos últimos 12 meses?                                                                                                                                                                                                                                                                                                                                                                                                                                          1=Sim
2=Não ► (17.28) 
</t>
  </si>
  <si>
    <t xml:space="preserve">Qual foi o montante desta venda?
</t>
  </si>
  <si>
    <t xml:space="preserve">Explorou [...] para a produção de leite nos últimos 12 meses?                                                                                                                                                                                                                  1=Sim
2=Não ► (17.49) 
</t>
  </si>
  <si>
    <t xml:space="preserve">Quantos [...] foram explorados em média por mês para a produção de leite nos últimos 12 meses? </t>
  </si>
  <si>
    <t xml:space="preserve">Durante quantos meses produziu leite de [...] durante os últimos 12?                                                                                                                                                                                                           </t>
  </si>
  <si>
    <t xml:space="preserve">Durante esses meses, qual foi a quantidade média de leite produzida por dia?
Código da unidade
                                                                                                                                                                                                                                                                                                                                                                                                                                                                                                                                                                              1=Litro 
2=Cabaça
3=Balde
</t>
  </si>
  <si>
    <t xml:space="preserve">Durante esses meses, que quantidade deu ao agregado proprietario do animal em média por dia?
Código da unidade                                                                                                                                                                                                                                                                        
1=Litro 
2=Cabaça
3=Balde
</t>
  </si>
  <si>
    <t xml:space="preserve">Vendeu uma parte desta produção de leite fresco de [...]?
1=Sim
2=Não ► (17.37) 
</t>
  </si>
  <si>
    <t>Durante esses meses, qual é a quantidade média desse leite vendido por dia?
Código da unidade
1=Litro 
2=Cabaça
3=Balde
Para a equivalência de UML, consideramos a equivalência de uma UML em litros</t>
  </si>
  <si>
    <t xml:space="preserve">Qual foi o montante médio da venda deste leite em cada dia?
</t>
  </si>
  <si>
    <t xml:space="preserve">Quais são as duas pessoas principais que controlam as receitas provenientes desta venda?                                                                                                                                                    (Escrever o código ID destas pessoas, utilizando a lista dos membros do agregado familiar)    </t>
  </si>
  <si>
    <t xml:space="preserve">Transformou uma parte desta produção de leite nos últimos 12 meses?
1=Sim
2=Não ► (17.49) </t>
  </si>
  <si>
    <t xml:space="preserve">Qual foi a quantidade média deste leite transformada por dia?
Código da unidade
1=Litro 
2=Cabaça
3=Balde
4=Outro (especificar)
</t>
  </si>
  <si>
    <t xml:space="preserve">Vendeu leite coalhado, nata, manteiga ou queijo nos últimos 12 meses?
1=Sim
2=Não ► (17.49) </t>
  </si>
  <si>
    <t>Que receitas obteve com a produção destes produtos nos últimos 12 meses?</t>
  </si>
  <si>
    <t>Quantos meses produziu ovos durante os últimos 12 meses?</t>
  </si>
  <si>
    <t>Durante estes meses, quantos ovos de [...] produziu em média por mês nos últimos 12 meses?                                                                                                                                                                                                                                                                                                                                                                                                                                                                               
(Se nenhum, Escrever 0)</t>
  </si>
  <si>
    <t>Quantos ovos de [...] vendeu em média por mês durante estes meses?                                                                                                                                                    (Se nenhum, Escrever 0 e ► (17.48))</t>
  </si>
  <si>
    <t xml:space="preserve">Durante estes meses, qual foi o montante desta venda em média por mês?
</t>
  </si>
  <si>
    <t xml:space="preserve">Durante estes meses, que quantidade de ovos consumiu no agregado familiar em média por mês?                                                                                                                                     (Se nenhum, Escrever 0)                                                                                                                                        </t>
  </si>
  <si>
    <t xml:space="preserve">Teve de comprar rações para alimentar os [...] nos últimos 12 meses?                                                                                                                          1=Sim
2=Não ► (17.53) 
                                                                                                                                                                                                                </t>
  </si>
  <si>
    <t xml:space="preserve">Quantos meses teve de comprar rações para alimentar os [...] durante os últimos 12 meses?                                                                                                                                                                                                                      </t>
  </si>
  <si>
    <t xml:space="preserve">Quanto despendeu em média por mês durante estes meses na compra destas rações?
</t>
  </si>
  <si>
    <t xml:space="preserve">Qual é o valor das rações utilizadas para alimentar os [...] pertencentes ou criados pelo agregado familiar que produziu pessoalmente?                                                                                                                                                                                                                                                                                                                                                                                                                                                                                                                                                                                                                                                                                
</t>
  </si>
  <si>
    <t xml:space="preserve">Pagou para dar de beber os [...] nos últimos 12 meses?                                                                                                                                                                                                                      1=Sim
2=Não ► (17.56)
</t>
  </si>
  <si>
    <t xml:space="preserve">Quantos meses teve de pagar água para dar de beber os [...] durante os últimos 12 meses?                                                                                                                                                                                                                      </t>
  </si>
  <si>
    <t xml:space="preserve">Quanto despendeu em média por mês durante estes meses para dar de beber os [...]?                                                                                                                                                                                             </t>
  </si>
  <si>
    <t xml:space="preserve">Mandou vacinar [...]  do rebanho/manada nos últimos 12 meses?                                              1=Sim
2=Não ► (17.58) 
                                                                                                                                                                                                                </t>
  </si>
  <si>
    <t>Quanto pagou para vacinar, tudo incluído (honorários, vacinas, etc.) nos últimos 12 meses?</t>
  </si>
  <si>
    <t xml:space="preserve">Mandou desparasitar [...] do rebanho/manada nos últimos 12 meses?                                              1=Sim
2=Não ► (17.60) 
                                                                                                                                                                                                                </t>
  </si>
  <si>
    <t>Quanto pagou para desparasitar, tudo incluído (honorários, vacinas, etc.) nos últimos 12 meses?</t>
  </si>
  <si>
    <t xml:space="preserve">Mandou tratar [...] do rebanho/manada nos últimos 12 meses?                                              1=Sim
2=Não ► (Espécie seguinte) 
                                                                                                                                                                                                                </t>
  </si>
  <si>
    <t>Quanto pagou por este tratamento nos últimos 12 meses?</t>
  </si>
  <si>
    <t>Pessoa 5</t>
  </si>
  <si>
    <t>Proprietário</t>
  </si>
  <si>
    <t>Animais</t>
  </si>
  <si>
    <t>Venda</t>
  </si>
  <si>
    <t>Ramadão</t>
  </si>
  <si>
    <t>Tabasky</t>
  </si>
  <si>
    <t>Natal</t>
  </si>
  <si>
    <t>Páscoa</t>
  </si>
  <si>
    <t>Festas de Fim de Ano</t>
  </si>
  <si>
    <t>Outras festas religiosas</t>
  </si>
  <si>
    <t>Outras cerimónias</t>
  </si>
  <si>
    <t>Outros</t>
  </si>
  <si>
    <t>Em natureza</t>
  </si>
  <si>
    <t>Em numerário</t>
  </si>
  <si>
    <t>Equivalência em litros</t>
  </si>
  <si>
    <t>Pessoa 
1</t>
  </si>
  <si>
    <t>Pessoa 
2</t>
  </si>
  <si>
    <t>Espécies/categorias</t>
  </si>
  <si>
    <t xml:space="preserve"> FRANCOS CFA</t>
  </si>
  <si>
    <t>Código ID:</t>
  </si>
  <si>
    <t>Bovinos</t>
  </si>
  <si>
    <t>Ovinos (carneiros)</t>
  </si>
  <si>
    <t>Caprinos (cabras)</t>
  </si>
  <si>
    <t>Camelídeos (camelos)</t>
  </si>
  <si>
    <t>Equinos (cavalos)</t>
  </si>
  <si>
    <t>Asininos (burros)</t>
  </si>
  <si>
    <t>Suínos (porcos)</t>
  </si>
  <si>
    <t>Coelhos</t>
  </si>
  <si>
    <t xml:space="preserve">Galinhas/frangos </t>
  </si>
  <si>
    <t>Pintadas</t>
  </si>
  <si>
    <t>Outras aves</t>
  </si>
  <si>
    <t>SECÇÃO 18: PESCA</t>
  </si>
  <si>
    <t>Escreva o código do respondente a esta pergunta</t>
  </si>
  <si>
    <t>Nos últimos 12 meses, pelo menos um membro do agregado familiar praticou pesca</t>
  </si>
  <si>
    <t>Nos últimos 12 meses, que autorizações ou licenças obteve para pescar?</t>
  </si>
  <si>
    <t xml:space="preserve"> por conta própria?</t>
  </si>
  <si>
    <t xml:space="preserve"> (Escrever até três licenças)</t>
  </si>
  <si>
    <t>Autorização ou licença 1</t>
  </si>
  <si>
    <t>2 Não ► Secção 19</t>
  </si>
  <si>
    <t>Autorização sazonal</t>
  </si>
  <si>
    <t>Quais são os pescadores principais do agregado familiar?</t>
  </si>
  <si>
    <t>Autorização especializada</t>
  </si>
  <si>
    <t>Autorização ou licença 2</t>
  </si>
  <si>
    <t>Arrasto de peixe pelagico</t>
  </si>
  <si>
    <t>Arrasto de peixe demersal</t>
  </si>
  <si>
    <t>Onde se pratica  principalmente a sua atividade de pesca?</t>
  </si>
  <si>
    <t>Autorização ou licença 3</t>
  </si>
  <si>
    <t>Mar/oceano</t>
  </si>
  <si>
    <t>Arrasto de cefalopodes</t>
  </si>
  <si>
    <t>Rio (anual)</t>
  </si>
  <si>
    <t>Atuneiro caneiro</t>
  </si>
  <si>
    <t>Regato (sazonal)</t>
  </si>
  <si>
    <t>Atuneiro cerqueiro</t>
  </si>
  <si>
    <t>Lagoa/lago de água doce</t>
  </si>
  <si>
    <t>Quanto custa estas autorizações ou licenças?</t>
  </si>
  <si>
    <t>Pântanos de água doce</t>
  </si>
  <si>
    <t>Autorização ou licença 1 (Francos CFA)</t>
  </si>
  <si>
    <t>Pântanos de água salgada</t>
  </si>
  <si>
    <t>Autorização ou licença 2 (Francos CFA)</t>
  </si>
  <si>
    <t>Autorização ou licença 3 (Francos CFA)</t>
  </si>
  <si>
    <t>Nos últimos 12 meses, você contratou não membros para sua atividade de pesca?</t>
  </si>
  <si>
    <t>Você Pesca a partir da praia/da margem/da borda do rio, de um barco ou canoa?</t>
  </si>
  <si>
    <t xml:space="preserve">A partir da praia/da margem/da borda do rio </t>
  </si>
  <si>
    <t>De um barco ou de uma piroga</t>
  </si>
  <si>
    <t>Ambos</t>
  </si>
  <si>
    <t>Nos últimos 12 meses, quanto pagou a estes trabalhadores?</t>
  </si>
  <si>
    <t>Onde pesca com mais frequência?</t>
  </si>
  <si>
    <t>Ao redor da comunidade</t>
  </si>
  <si>
    <t>Áreas acessíveis num dia</t>
  </si>
  <si>
    <t>Nos últimos 12 meses, quanto você gastou em dinheiro com custos de congelamento, gelo? (F CFA)</t>
  </si>
  <si>
    <t>No seu país, acessíveis em vários dias</t>
  </si>
  <si>
    <t>Noutros países</t>
  </si>
  <si>
    <t>Nos últimos 12 meses, que meses corresponderam à estação alta, à estação baixa e quais os meses sem pesca?</t>
  </si>
  <si>
    <t>Durante os últimos 12 meses, quanto você gastou em custos de combustível de canoa? (FCFA)</t>
  </si>
  <si>
    <t>(Assinalar os meses da estação alta com 1, os meses da estação baixa com 2 e os meses sem pescar com 3.)</t>
  </si>
  <si>
    <t>JAN</t>
  </si>
  <si>
    <t>FEV</t>
  </si>
  <si>
    <t>MAR</t>
  </si>
  <si>
    <t>ABR</t>
  </si>
  <si>
    <t>MAI</t>
  </si>
  <si>
    <t>JUN</t>
  </si>
  <si>
    <t>Durante os últimos 12 meses, quanto você gastou em custos de manutenção de canoas? (FCFA)</t>
  </si>
  <si>
    <t>JUL</t>
  </si>
  <si>
    <t>AGO</t>
  </si>
  <si>
    <t>SET</t>
  </si>
  <si>
    <t>OUT</t>
  </si>
  <si>
    <t>NOV</t>
  </si>
  <si>
    <t>DEZ</t>
  </si>
  <si>
    <t>5 espécies de peixes pescados mais frequentemente na última estação alta</t>
  </si>
  <si>
    <t>Na última ESTAÇÃO ALTA quantas [ESPÉCIES] capturou em média NUM MÊS?</t>
  </si>
  <si>
    <t>Na última ESTAÇÃO ALTA quantas [ESPÉCIES] em média, das que capturou, consumiu/deu em pagamento/utilizou como insumo de transformação/vendeu NUM MÊS?</t>
  </si>
  <si>
    <t>Consumo</t>
  </si>
  <si>
    <t>Pagamento</t>
  </si>
  <si>
    <t>Insumo</t>
  </si>
  <si>
    <t>Espécie</t>
  </si>
  <si>
    <t xml:space="preserve">Unidade </t>
  </si>
  <si>
    <t>Djafal</t>
  </si>
  <si>
    <t>1.Tonelada; 2. KG; 3. Bacia; 4. Balde</t>
  </si>
  <si>
    <t>Bentana</t>
  </si>
  <si>
    <t>Tainha</t>
  </si>
  <si>
    <t>Bagre</t>
  </si>
  <si>
    <t>1.Tonelada; 2. KG; 3.Bacia; 4. Balde</t>
  </si>
  <si>
    <t>Bentaninha</t>
  </si>
  <si>
    <t>Peixe mantchado</t>
  </si>
  <si>
    <t>Sinapa</t>
  </si>
  <si>
    <t>Não concernente</t>
  </si>
  <si>
    <t>Onde vendeu principalmente [ESPÉCIES]?</t>
  </si>
  <si>
    <t>A quem vendeu principalmente [ESPÉCIES]?</t>
  </si>
  <si>
    <t>Na última ESTAÇÃO ALTA quanto recebeu em média pela venda de [ESPÉCIES] NUM MÊS?</t>
  </si>
  <si>
    <t>Quem controla principalmente a receita desta atividade, prever dois códigos para a resposta?</t>
  </si>
  <si>
    <t>Praia/margem do rio</t>
  </si>
  <si>
    <t>Consumidores</t>
  </si>
  <si>
    <t>Mercado</t>
  </si>
  <si>
    <t>Comerciantes</t>
  </si>
  <si>
    <t>ID Pessoa 1</t>
  </si>
  <si>
    <t>Comunidade/Tabanca</t>
  </si>
  <si>
    <t>Transformador</t>
  </si>
  <si>
    <t>ID Pessoa 2</t>
  </si>
  <si>
    <t>5 espécies de peixes pescados mais frequentemente na última estação baixa (Idem 19.17)</t>
  </si>
  <si>
    <t xml:space="preserve">Na última ESTAÇÂO/MARÉ BAIXA , em média, quantas [ESPÉCIES] você pescou POR MÊS?
</t>
  </si>
  <si>
    <t>Na última ESTAÇÃO BAIXA, em média, quantas [ESPÉCIES] que você pescou consumiu / pagou / usou como insumo de processamento / vendeu EM UM MÊS?</t>
  </si>
  <si>
    <t xml:space="preserve">Bentaninha </t>
  </si>
  <si>
    <t>Peixe Mantchado</t>
  </si>
  <si>
    <t>Onde você vendeu principalmente [DINHEIRO]?</t>
  </si>
  <si>
    <t>Para quem você vendeu principalmente [DINHEIRO]?</t>
  </si>
  <si>
    <t>Na última ESTAÇÃO/MARÉ BAIXA, em média, quanto você recebeu com a venda de [DINHEIRO] EM UM MÊS?</t>
  </si>
  <si>
    <t>Praia/margem do  rio</t>
  </si>
  <si>
    <t>EM FCFA</t>
  </si>
  <si>
    <t>SECÇÃO 19: EQUIPAMENTOS AGRÍCOLAS</t>
  </si>
  <si>
    <t xml:space="preserve">(19.00) O agregado familiar declarou praticar a agricultura, pecuária ou a pesca nas secções 16, 17 ou 18?   </t>
  </si>
  <si>
    <t>1=Sim   2=Não ► secção 20A</t>
  </si>
  <si>
    <t xml:space="preserve">(19.01) Escrever o número do respondente   </t>
  </si>
  <si>
    <t>Tipo de equipamentos</t>
  </si>
  <si>
    <t>O agregado familiar possui o artigo seguinte?                                                                                                                                                                                                                                                              1=Sim                                                                                                                                                                                                                                                                                                                                                     2=Não ► (19.10)</t>
  </si>
  <si>
    <t>Quantos [...] possui o agregado familiar?</t>
  </si>
  <si>
    <t xml:space="preserve">Qual é o CÓDIGO ID da (s) pessoa (s) que possuem este equipamento?
</t>
  </si>
  <si>
    <t xml:space="preserve">Quantos anos tem o último? </t>
  </si>
  <si>
    <t>Qual foi o preço (ou valor) de aquisição do mais recente?</t>
  </si>
  <si>
    <t xml:space="preserve">Por quanto venderia hoje o mais recente destes artigos? </t>
  </si>
  <si>
    <t>O agregado familiar alugou [...] a outros agregados familiares nos últimos 12 meses?
1=Sim
2=Não ► (19.10)</t>
  </si>
  <si>
    <t>Que quantia recebeu o agregado familiar pelo aluguer de [….]?</t>
  </si>
  <si>
    <t>O agregado familiar utilizou […] que não lhe pertence mas que alugou a uma cooperativa ou a outro agregado familiar?
1=Sim
2=Não ►Linha seguinte</t>
  </si>
  <si>
    <t>Que quantia pagou o agregado familiar pelo aluguer deste [….]?</t>
  </si>
  <si>
    <t>Trator</t>
  </si>
  <si>
    <t>Pulverizador</t>
  </si>
  <si>
    <t>Motocultivador</t>
  </si>
  <si>
    <t>Ceifeira-debulhadora</t>
  </si>
  <si>
    <t xml:space="preserve">Charrua </t>
  </si>
  <si>
    <t>Machado/picareta</t>
  </si>
  <si>
    <t>Enxada/Ancinho/sacho</t>
  </si>
  <si>
    <t>Catana/Tarçado</t>
  </si>
  <si>
    <t>Enxada movida a burro</t>
  </si>
  <si>
    <t>Semeadeira</t>
  </si>
  <si>
    <t>Grade</t>
  </si>
  <si>
    <t xml:space="preserve">Animais de lavoura </t>
  </si>
  <si>
    <t>Carroças</t>
  </si>
  <si>
    <t>Colmeia</t>
  </si>
  <si>
    <t>Descascador de arroz</t>
  </si>
  <si>
    <t>Colhedor-descarolador de milho</t>
  </si>
  <si>
    <t>Debulhadora</t>
  </si>
  <si>
    <t>Grupo motobomba</t>
  </si>
  <si>
    <t>Bomba manual</t>
  </si>
  <si>
    <t>Báscula</t>
  </si>
  <si>
    <t>Enfeixadeira</t>
  </si>
  <si>
    <t>Corta-palha</t>
  </si>
  <si>
    <t>Bebedouro/manjedoura</t>
  </si>
  <si>
    <t>Gadanheira</t>
  </si>
  <si>
    <t>Moinho</t>
  </si>
  <si>
    <t>Distribuidor de adubos</t>
  </si>
  <si>
    <t>Ordenha mecânica</t>
  </si>
  <si>
    <t>Chocadeira</t>
  </si>
  <si>
    <t>Piroga motorizada</t>
  </si>
  <si>
    <t>Piroga não motorizada</t>
  </si>
  <si>
    <t>Rede de emalhar</t>
  </si>
  <si>
    <t>Rede envolvente-arrastante</t>
  </si>
  <si>
    <t>Tarrafa de mão</t>
  </si>
  <si>
    <t>Palangre de anzol</t>
  </si>
  <si>
    <t>Arpão</t>
  </si>
  <si>
    <t>Outros (especificar)</t>
  </si>
  <si>
    <t>Secção 20: Pobreza subjetiva, Governação, Insegurança</t>
  </si>
  <si>
    <t>O indivíduo que tem que preencher a seção 20 (20A, 20B, 20C) é escolhido aleatoriamente, seu CÓDIGO ID é gerado na coluna s20Aq00, se a pessoa estiver ausente, é escolhido um substituto.</t>
  </si>
  <si>
    <t>20A.00</t>
  </si>
  <si>
    <t>Escreva o CÓDIGO  ID do entrevistado nesta seção </t>
  </si>
  <si>
    <t>Partie A: Pobreza Subjetiva</t>
  </si>
  <si>
    <t>Você acha que a Guiné-Bissau é um país pobre?</t>
  </si>
  <si>
    <t>Dado o rendimento do seu agregado familiar, você acha que está vivendo?</t>
  </si>
  <si>
    <t>Como você vive em comparação com seus vizinhos da localidade?</t>
  </si>
  <si>
    <t>Como você vive em relação as pessoas que vivem na Capital?</t>
  </si>
  <si>
    <t>Se você for solicitado a classificar sua própria família numa escala de bem-estar de pobre a rico, como você classificaria?</t>
  </si>
  <si>
    <t>Qual é o valor mínimo mensal necessário para que seu agregado tenha um nível de vida decente (FCFA)?</t>
  </si>
  <si>
    <t>Quais são os principais encargos cobertos por este valor? (múltipla escolha)</t>
  </si>
  <si>
    <t>1. Muito Bem</t>
  </si>
  <si>
    <t>1. Claramente melhor</t>
  </si>
  <si>
    <t>1. Muito melhor</t>
  </si>
  <si>
    <t>1. Rico</t>
  </si>
  <si>
    <t xml:space="preserve">1. Alimentação
</t>
  </si>
  <si>
    <t>2. Bem</t>
  </si>
  <si>
    <t>2. Um pouco melhor</t>
  </si>
  <si>
    <t>2. Médio</t>
  </si>
  <si>
    <t>2. Aluguel/renda</t>
  </si>
  <si>
    <t>3. Não sabe</t>
  </si>
  <si>
    <t>3. Razoavelmente</t>
  </si>
  <si>
    <t>3. Da mesma forma</t>
  </si>
  <si>
    <t>3. Um pouco pobre</t>
  </si>
  <si>
    <t>3. Educação</t>
  </si>
  <si>
    <t>4. Com dificuldade</t>
  </si>
  <si>
    <t>4. Menos bem</t>
  </si>
  <si>
    <t>4. Pobre</t>
  </si>
  <si>
    <t>4. Saúde</t>
  </si>
  <si>
    <t>5. Não sabe</t>
  </si>
  <si>
    <t>5. Roupas</t>
  </si>
  <si>
    <t>6 Não-Concernente</t>
  </si>
  <si>
    <t>6. Outro ( a precisar)</t>
  </si>
  <si>
    <t>Secção 20: Pobreza subjetiva, Governação, Paz e Segurança</t>
  </si>
  <si>
    <t xml:space="preserve">Parte B: Governação </t>
  </si>
  <si>
    <t>20B.00.Escreva o CÓDIGO  ID do entrevistado nesta seção (o entrevistado é escolhido aleatoriamente entre os indivíduos do agregado familiar com mais de 18 anos)</t>
  </si>
  <si>
    <t xml:space="preserve">Neste país, os direitos humanos
 são respeitados?
</t>
  </si>
  <si>
    <r>
      <t xml:space="preserve">A democracia geralmente está associada às seguintes características.
A) Quais você acha que são essenciais e 
B) são respeitados no país?
</t>
    </r>
    <r>
      <rPr>
        <u/>
        <sz val="9"/>
        <rFont val="Arial Narrow"/>
        <family val="2"/>
      </rPr>
      <t>CÓDIGO:</t>
    </r>
    <r>
      <rPr>
        <sz val="9"/>
        <rFont val="Arial Narrow"/>
        <family val="2"/>
      </rPr>
      <t xml:space="preserve">
1. Completamente 2. Um pouco 3. </t>
    </r>
    <r>
      <rPr>
        <sz val="9"/>
        <color theme="1"/>
        <rFont val="Arial Narrow"/>
        <family val="2"/>
      </rPr>
      <t>Na verdade não 4</t>
    </r>
    <r>
      <rPr>
        <sz val="9"/>
        <rFont val="Arial Narrow"/>
        <family val="2"/>
      </rPr>
      <t>. Nem um pouco</t>
    </r>
  </si>
  <si>
    <t>Em geral, você está satisfeito com a forma como a democracia funciona em [seu país]?</t>
  </si>
  <si>
    <t>Você acha que os seguintes tipos de sistema político são desejáveis ​​para governar o país?
1. Muito
2. Um pouco
3. Não muito
4. Nem um pouco</t>
  </si>
  <si>
    <r>
      <t xml:space="preserve">Às vezes, as pessoas são discriminadas com base em suas características pessoais. 
No país : 
A) Você acha que há discriminação ligada a ...?
B) Você foi vítima da discriminação por causa de seu/sua ...?    
</t>
    </r>
    <r>
      <rPr>
        <u/>
        <sz val="9"/>
        <rFont val="Arial Narrow"/>
        <family val="2"/>
      </rPr>
      <t xml:space="preserve">CÓDIGO: </t>
    </r>
    <r>
      <rPr>
        <sz val="9"/>
        <rFont val="Arial Narrow"/>
        <family val="2"/>
      </rPr>
      <t xml:space="preserve">(1. Sim     2. Não)  </t>
    </r>
  </si>
  <si>
    <t xml:space="preserve">Em geral, as pessoas consideram que as mulheres devem ter as mesmas oportunidades que os homens de serem eleitas para os cargos políticos?                            </t>
  </si>
  <si>
    <t>Na sua opinião, as mulheres deveriam ter as mesmas oportunidades que os homens …</t>
  </si>
  <si>
    <r>
      <t xml:space="preserve">Você acha que as seguintes pessoas fazem o possível para ouvi-lo?
</t>
    </r>
    <r>
      <rPr>
        <u/>
        <sz val="9"/>
        <rFont val="Arial Narrow"/>
        <family val="2"/>
      </rPr>
      <t>CÓDIGO</t>
    </r>
    <r>
      <rPr>
        <sz val="9"/>
        <rFont val="Arial Narrow"/>
        <family val="2"/>
      </rPr>
      <t xml:space="preserve">
1. Nunca 2. Ás vezes 3. Frequentemente 4. Sempre</t>
    </r>
  </si>
  <si>
    <t>Você acha que o seu conselheiro local / municipal coloca em prática as seguintes ações:</t>
  </si>
  <si>
    <t>Você acha que as autoridades locais têm poder?</t>
  </si>
  <si>
    <t xml:space="preserve">As informação fornecidos sobre as políticas e orçamento por autoridades centrais aos cidadões são: </t>
  </si>
  <si>
    <t>Até que ponto a corrupção é um problema para o país?</t>
  </si>
  <si>
    <t>A: Quantas vezes você já teve que pagar um suborno, dar um presente a um funcionário público nos últimos 12 meses?
B: Em qual departamento/Ministério principal?
C: Em que ocasião principal?
D: Qual é o valor total pago por corrupção durante o ano?
Se 0 na A, saltamos B, C e D</t>
  </si>
  <si>
    <t>Até que ponto os seguintes grupos estão envolvidos na corrupção?
(1. Muito 2. Um pouco 3. Não muito 4. Nem um pouco)</t>
  </si>
  <si>
    <t xml:space="preserve">No país existe uma organização anticorrupção? </t>
  </si>
  <si>
    <t>Na sua opinião, o governo é eficaz no combate à corrupção?</t>
  </si>
  <si>
    <t>Você tem informações suficientes sobre os esforços anticorrupção do governo?</t>
  </si>
  <si>
    <t>Neste país, você se sente livre de ...: 
CÓDIGO:
1.Muito 2.Um pouco 3.Não muito 4. Nem um pouco</t>
  </si>
  <si>
    <t xml:space="preserve">Você acha que os políticos levam em consideração as preocupações / demandas da população?  </t>
  </si>
  <si>
    <t>Uma vez eleito, você acha que o partido do governo dá espaço (leva em conta) as vozes dos oponentes, grupos minoritários:
CÓDIGO:
1. Muito 2. Um pouco 3. Não Muito 4. Nem um pouco</t>
  </si>
  <si>
    <r>
      <t xml:space="preserve">Você é membro (líder ou não) de alguma associação?
</t>
    </r>
    <r>
      <rPr>
        <u/>
        <sz val="9"/>
        <rFont val="Arial Narrow"/>
        <family val="2"/>
      </rPr>
      <t>CÓDIGO:</t>
    </r>
    <r>
      <rPr>
        <sz val="9"/>
        <rFont val="Arial Narrow"/>
        <family val="2"/>
      </rPr>
      <t xml:space="preserve">
1. Sim (dirigente) 2. Sim (membro) 3. Não                  </t>
    </r>
  </si>
  <si>
    <t>Você pessoalmente</t>
  </si>
  <si>
    <t>Os outros membros do agregado familiar</t>
  </si>
  <si>
    <t>Liberdade de expressão</t>
  </si>
  <si>
    <t>Liberdade de imprensa (mídia)</t>
  </si>
  <si>
    <t>Igualdade perante a lei</t>
  </si>
  <si>
    <t>Liberdade política (escolha do partido)</t>
  </si>
  <si>
    <t>Eleições livres e transparentes</t>
  </si>
  <si>
    <t>Liberdade para viajar</t>
  </si>
  <si>
    <t>Liberdade de religião</t>
  </si>
  <si>
    <t>Liberdade de associação</t>
  </si>
  <si>
    <t>Ausencia de discriminação</t>
  </si>
  <si>
    <t xml:space="preserve">Ter um homem forte à frente que não precisa se preocupar com o parlamento ou as eleições
</t>
  </si>
  <si>
    <t>Que sejam os tecnocratas, não os políticos, a decidirem o que é bom para o país</t>
  </si>
  <si>
    <t>Que seja o exército a governar o país</t>
  </si>
  <si>
    <t>Ter um sistema político democrático</t>
  </si>
  <si>
    <t>Etnia</t>
  </si>
  <si>
    <t>Origem regional</t>
  </si>
  <si>
    <t>Religião</t>
  </si>
  <si>
    <t>Situação econômica (pobreza)</t>
  </si>
  <si>
    <t>Genero/sexo</t>
  </si>
  <si>
    <t>Deficiência</t>
  </si>
  <si>
    <t>Deputados da Assembleia Nacional / Parlamento</t>
  </si>
  <si>
    <t>Vereadores -Conselheiros municipais (eleitos) </t>
  </si>
  <si>
    <r>
      <t>Os chefes tradicionais</t>
    </r>
    <r>
      <rPr>
        <b/>
        <sz val="8"/>
        <color rgb="FF000000"/>
        <rFont val="Calibri"/>
        <family val="2"/>
        <charset val="1"/>
      </rPr>
      <t>    </t>
    </r>
  </si>
  <si>
    <t>Informar os cidadãos sobre os programas de ação e orçamentos</t>
  </si>
  <si>
    <t>Consultar os cidadãos na tomada de decisões</t>
  </si>
  <si>
    <t>Consultar os líderes tradicionais da comunidade</t>
  </si>
  <si>
    <t>Realizar projetos ao nível local</t>
  </si>
  <si>
    <t xml:space="preserve">Os funcionários (em geral) </t>
  </si>
  <si>
    <t>A polícia</t>
  </si>
  <si>
    <t>Funcionários fiscais (Imposto, alfandega)</t>
  </si>
  <si>
    <t>Juízes, magistrados, funcionários da justiça</t>
  </si>
  <si>
    <t>O presidente</t>
  </si>
  <si>
    <t>Os ministros</t>
  </si>
  <si>
    <t>Os deputados/ membros do parlamento</t>
  </si>
  <si>
    <t>Autoridade regionais/sectoriais</t>
  </si>
  <si>
    <t>As autoridades religiosas</t>
  </si>
  <si>
    <t>Os líderes/chefes tradicionais</t>
  </si>
  <si>
    <t>Dizer o que você pensa</t>
  </si>
  <si>
    <t>Se juntar à organização política de sua escolha</t>
  </si>
  <si>
    <t>Escolher em quem votar sem pressão</t>
  </si>
  <si>
    <t>Partidos políticos de oposição</t>
  </si>
  <si>
    <t>Grupos minoritários</t>
  </si>
  <si>
    <t xml:space="preserve">Local (bairros, etc.)  </t>
  </si>
  <si>
    <t xml:space="preserve">	Religiosos</t>
  </si>
  <si>
    <t>Profissional</t>
  </si>
  <si>
    <t>Familiar/nativo</t>
  </si>
  <si>
    <t>Poupança (Tontina, etc.)</t>
  </si>
  <si>
    <t xml:space="preserve">Partido politico                  </t>
  </si>
  <si>
    <t>Outros (a precisar)</t>
  </si>
  <si>
    <t>1. Muito
2. Um pouco
3. Não muito
4. Nem um pouco</t>
  </si>
  <si>
    <r>
      <t xml:space="preserve">1 Muito 
</t>
    </r>
    <r>
      <rPr>
        <sz val="9"/>
        <color theme="1"/>
        <rFont val="Arial Narrow"/>
        <family val="2"/>
      </rPr>
      <t>2. Mais ou menos</t>
    </r>
    <r>
      <rPr>
        <sz val="9"/>
        <rFont val="Arial Narrow"/>
        <family val="2"/>
      </rPr>
      <t xml:space="preserve">
3. Não muito
4 Nem um pouco</t>
    </r>
  </si>
  <si>
    <t>1. Sim
2. Não</t>
  </si>
  <si>
    <r>
      <t xml:space="preserve">1 Muito
</t>
    </r>
    <r>
      <rPr>
        <sz val="9"/>
        <color theme="1"/>
        <rFont val="Arial Narrow"/>
        <family val="2"/>
      </rPr>
      <t>2. Bastante</t>
    </r>
    <r>
      <rPr>
        <sz val="9"/>
        <rFont val="Arial Narrow"/>
        <family val="2"/>
      </rPr>
      <t xml:space="preserve">
3. Não muito
4 Nem um pouco</t>
    </r>
  </si>
  <si>
    <t>1. Suficiente
2. Insuficiente
3. Sem informação</t>
  </si>
  <si>
    <t>1. Completamente 2. Um pouco 3. Não muito 4. Nem um pouco</t>
  </si>
  <si>
    <t>1. Muito 2. Um pouco 3. Não muito 4. Nem um pouco</t>
  </si>
  <si>
    <t>1 Muito
2 Um pouco
3. Não muito
4. Nem pouco</t>
  </si>
  <si>
    <t>Secção 20: Pobreza subjetiva, Governação, Segurança</t>
  </si>
  <si>
    <t>20C.00</t>
  </si>
  <si>
    <t>Escreva o CODIGO ID do entrevistado nesta seção</t>
  </si>
  <si>
    <t>Você se sente seguro ao caminhar sozinho no seu bairro / localidade depois de escurecer?</t>
  </si>
  <si>
    <t>Nos últimos 12 meses, você ou alguém de seu agregado familiar foi agredido?</t>
  </si>
  <si>
    <t>Quantas pessoas de seu agregado familiar foram  vítimas  de agressão?</t>
  </si>
  <si>
    <t>Qual foi o tipo de agressão mais recente de que você ou outro membro do seu agregado familiar foi vítima nos últimos 12 meses?</t>
  </si>
  <si>
    <t>Esta agressão recente foi denunciado às autoridades competentes (polícia, guarda nacional, líder comunitário, etc.)?</t>
  </si>
  <si>
    <t>Por que razão esta última agressão não foi denunciado às autoridades competentes (polícia, guarda nacional,  líder comunitário, etc.)?</t>
  </si>
  <si>
    <r>
      <t xml:space="preserve">Qual é o seu nível de confiaça na capacidade de [… ..] fazer justiça em casos de agressão ou outro dano?
</t>
    </r>
    <r>
      <rPr>
        <u/>
        <sz val="9"/>
        <rFont val="Arial Narrow"/>
        <family val="2"/>
      </rPr>
      <t>Codigo:</t>
    </r>
    <r>
      <rPr>
        <sz val="9"/>
        <rFont val="Arial Narrow"/>
        <family val="2"/>
      </rPr>
      <t xml:space="preserve">
1. Muito confiante 
2. Um pouco confiante         
3. Confiante 
4. Não confiante
5.Nem um pouco confiante</t>
    </r>
  </si>
  <si>
    <t>1. Muito seguro</t>
  </si>
  <si>
    <t>1. Física</t>
  </si>
  <si>
    <t>1. Não é necessário</t>
  </si>
  <si>
    <t>2. Um pouco seguro</t>
  </si>
  <si>
    <t>2. Rapto</t>
  </si>
  <si>
    <t>2. Não tem confiança nas autoridades</t>
  </si>
  <si>
    <t>Policia</t>
  </si>
  <si>
    <t>Guarda Nacional</t>
  </si>
  <si>
    <t>Líderes comunitários</t>
  </si>
  <si>
    <t>Líderes religiosos</t>
  </si>
  <si>
    <t>3. Não muito seguro</t>
  </si>
  <si>
    <t>3.Assalto / Roubo</t>
  </si>
  <si>
    <t>3. Não sabe o procedimento</t>
  </si>
  <si>
    <t>4.Nem um pouco seguro</t>
  </si>
  <si>
    <t>4. Verbal</t>
  </si>
  <si>
    <t>4. Outro</t>
  </si>
  <si>
    <t>5. Sexual</t>
  </si>
  <si>
    <t>6.Outro (a especificar)</t>
  </si>
  <si>
    <t>INS: adaptar a lista das unidades não convencionais</t>
  </si>
  <si>
    <t>Lista exaustiva de unidades</t>
  </si>
  <si>
    <t>Kg</t>
  </si>
  <si>
    <t>Cabaça média</t>
  </si>
  <si>
    <t>Lata pequena de leite</t>
  </si>
  <si>
    <t>Grama</t>
  </si>
  <si>
    <t>Cabaça pequena</t>
  </si>
  <si>
    <t>Monte grande</t>
  </si>
  <si>
    <t>Taça</t>
  </si>
  <si>
    <t>Litro</t>
  </si>
  <si>
    <t>Concha (calma) grande</t>
  </si>
  <si>
    <t>Monte medio</t>
  </si>
  <si>
    <t>prato</t>
  </si>
  <si>
    <t>Centilitro</t>
  </si>
  <si>
    <t>Concha (calma) média</t>
  </si>
  <si>
    <t xml:space="preserve">Monte pequeno </t>
  </si>
  <si>
    <t>colher (de sopa)</t>
  </si>
  <si>
    <t>Concha (calma) pequena</t>
  </si>
  <si>
    <t>Maradura grande</t>
  </si>
  <si>
    <t>Colherinha)</t>
  </si>
  <si>
    <t>Tiya</t>
  </si>
  <si>
    <t>Lata grande de tomate</t>
  </si>
  <si>
    <t>Maradura medio</t>
  </si>
  <si>
    <t>folha  (talo, pé)</t>
  </si>
  <si>
    <t>1/2 tiya</t>
  </si>
  <si>
    <t>Lata média de tomate</t>
  </si>
  <si>
    <t>Maradura pequeno</t>
  </si>
  <si>
    <t xml:space="preserve">cabeça </t>
  </si>
  <si>
    <t>1/4 tiya</t>
  </si>
  <si>
    <t>Lata pequena de tomate</t>
  </si>
  <si>
    <t>Pacote grande</t>
  </si>
  <si>
    <t>dente</t>
  </si>
  <si>
    <t>Tongolo</t>
  </si>
  <si>
    <t>Waygouizé</t>
  </si>
  <si>
    <t>Pacote medio</t>
  </si>
  <si>
    <t>caixa</t>
  </si>
  <si>
    <t>Bota</t>
  </si>
  <si>
    <t>Múndou</t>
  </si>
  <si>
    <t>Pacote pequeno</t>
  </si>
  <si>
    <t>Balaio</t>
  </si>
  <si>
    <t>Cesto grande</t>
  </si>
  <si>
    <t>Embalagem grande</t>
  </si>
  <si>
    <t>garafa grande</t>
  </si>
  <si>
    <t>saquinho</t>
  </si>
  <si>
    <t>Cesto médio</t>
  </si>
  <si>
    <t>Embalagem pequena</t>
  </si>
  <si>
    <t>garafa medio</t>
  </si>
  <si>
    <t>bussa</t>
  </si>
  <si>
    <t>Cesto pequeno</t>
  </si>
  <si>
    <t>Porção( pedaço, fatia) grande</t>
  </si>
  <si>
    <t>garafa pequeno</t>
  </si>
  <si>
    <t>copo grande</t>
  </si>
  <si>
    <t>Balde grande</t>
  </si>
  <si>
    <t>Porção( pedaço, fatia) medio</t>
  </si>
  <si>
    <t>bacia grande</t>
  </si>
  <si>
    <t>copo medio</t>
  </si>
  <si>
    <t>Balde médio</t>
  </si>
  <si>
    <t>Porção( pedaço, fatia) pequeno</t>
  </si>
  <si>
    <t>bacia medio</t>
  </si>
  <si>
    <t>copo pequeno</t>
  </si>
  <si>
    <t>Balde pequeno</t>
  </si>
  <si>
    <t>Caneca ( frasco) grande</t>
  </si>
  <si>
    <t>bacia pequeno</t>
  </si>
  <si>
    <t>Saco grande</t>
  </si>
  <si>
    <t>Caneca ( frasco) medio</t>
  </si>
  <si>
    <t>Saco plastico grande</t>
  </si>
  <si>
    <t>Saco médio</t>
  </si>
  <si>
    <t>Caneca ( frasco) pequeno</t>
  </si>
  <si>
    <t>Saco plastico medio</t>
  </si>
  <si>
    <t>Saco pequeno</t>
  </si>
  <si>
    <t>Cacho</t>
  </si>
  <si>
    <t>Saco plastico pequeno</t>
  </si>
  <si>
    <t>Cabaça grande</t>
  </si>
  <si>
    <t>Alvéolo</t>
  </si>
  <si>
    <t>dúzia</t>
  </si>
  <si>
    <t>Lata grande de leite</t>
  </si>
  <si>
    <t>Meia duzia</t>
  </si>
  <si>
    <t>Lata média de leite</t>
  </si>
  <si>
    <t>Tabuleiro</t>
  </si>
  <si>
    <t>meio/metade</t>
  </si>
  <si>
    <t>Nomenclatura das culturas para a seção 16A</t>
  </si>
  <si>
    <r>
      <rPr>
        <b/>
        <sz val="11"/>
        <rFont val="Arial Narrow"/>
        <family val="2"/>
      </rPr>
      <t xml:space="preserve">Código </t>
    </r>
  </si>
  <si>
    <r>
      <rPr>
        <b/>
        <sz val="11"/>
        <rFont val="Arial Narrow"/>
        <family val="2"/>
      </rPr>
      <t xml:space="preserve">Descritivo </t>
    </r>
  </si>
  <si>
    <t xml:space="preserve">Descritivo </t>
  </si>
  <si>
    <t xml:space="preserve">Milho preto </t>
  </si>
  <si>
    <t>Sésamo /Bene</t>
  </si>
  <si>
    <r>
      <rPr>
        <sz val="11"/>
        <rFont val="Arial Narrow"/>
        <family val="2"/>
      </rPr>
      <t xml:space="preserve">Melão </t>
    </r>
  </si>
  <si>
    <r>
      <rPr>
        <sz val="11"/>
        <rFont val="Arial Narrow"/>
        <family val="2"/>
      </rPr>
      <t xml:space="preserve">Feijão verde </t>
    </r>
  </si>
  <si>
    <t>Café</t>
  </si>
  <si>
    <t>Milho cavalo</t>
  </si>
  <si>
    <r>
      <rPr>
        <sz val="11"/>
        <rFont val="Arial Narrow"/>
        <family val="2"/>
      </rPr>
      <t xml:space="preserve">Mandioca </t>
    </r>
  </si>
  <si>
    <r>
      <rPr>
        <sz val="11"/>
        <rFont val="Arial Narrow"/>
        <family val="2"/>
      </rPr>
      <t xml:space="preserve">Melancia </t>
    </r>
  </si>
  <si>
    <t>Planta cabaz</t>
  </si>
  <si>
    <r>
      <rPr>
        <sz val="11"/>
        <rFont val="Arial Narrow"/>
        <family val="2"/>
      </rPr>
      <t>Chá</t>
    </r>
  </si>
  <si>
    <t xml:space="preserve">Arroz paddy </t>
  </si>
  <si>
    <r>
      <rPr>
        <sz val="11"/>
        <rFont val="Arial Narrow"/>
        <family val="2"/>
      </rPr>
      <t xml:space="preserve">Batata-doce </t>
    </r>
  </si>
  <si>
    <r>
      <rPr>
        <sz val="11"/>
        <rFont val="Arial Narrow"/>
        <family val="2"/>
      </rPr>
      <t xml:space="preserve">Alface </t>
    </r>
  </si>
  <si>
    <r>
      <rPr>
        <sz val="11"/>
        <rFont val="Arial Narrow"/>
        <family val="2"/>
      </rPr>
      <t xml:space="preserve">Rabanete </t>
    </r>
  </si>
  <si>
    <t>Chabeu</t>
  </si>
  <si>
    <t xml:space="preserve">Arroz Mpampam  </t>
  </si>
  <si>
    <t>Batata Inglesa</t>
  </si>
  <si>
    <r>
      <rPr>
        <sz val="11"/>
        <rFont val="Arial Narrow"/>
        <family val="2"/>
      </rPr>
      <t xml:space="preserve">Nabo </t>
    </r>
  </si>
  <si>
    <t>Seringueira</t>
  </si>
  <si>
    <t>Milho bacil</t>
  </si>
  <si>
    <r>
      <rPr>
        <sz val="11"/>
        <rFont val="Arial Narrow"/>
        <family val="2"/>
      </rPr>
      <t xml:space="preserve">Pimento </t>
    </r>
  </si>
  <si>
    <r>
      <rPr>
        <sz val="11"/>
        <rFont val="Arial Narrow"/>
        <family val="2"/>
      </rPr>
      <t xml:space="preserve">Tomate </t>
    </r>
  </si>
  <si>
    <r>
      <rPr>
        <sz val="11"/>
        <rFont val="Arial Narrow"/>
        <family val="2"/>
      </rPr>
      <t xml:space="preserve">Alho-francês </t>
    </r>
  </si>
  <si>
    <t>Citrinos</t>
  </si>
  <si>
    <r>
      <rPr>
        <sz val="11"/>
        <rFont val="Arial Narrow"/>
        <family val="2"/>
      </rPr>
      <t xml:space="preserve">Junça </t>
    </r>
  </si>
  <si>
    <r>
      <rPr>
        <sz val="11"/>
        <rFont val="Arial Narrow"/>
        <family val="2"/>
      </rPr>
      <t xml:space="preserve">Gengibre </t>
    </r>
  </si>
  <si>
    <r>
      <rPr>
        <sz val="11"/>
        <rFont val="Arial Narrow"/>
        <family val="2"/>
      </rPr>
      <t xml:space="preserve">Cenoura </t>
    </r>
  </si>
  <si>
    <r>
      <rPr>
        <sz val="11"/>
        <rFont val="Arial Narrow"/>
        <family val="2"/>
      </rPr>
      <t xml:space="preserve">Caruru (chapata) </t>
    </r>
  </si>
  <si>
    <r>
      <rPr>
        <sz val="11"/>
        <rFont val="Arial Narrow"/>
        <family val="2"/>
      </rPr>
      <t>Mangueira</t>
    </r>
  </si>
  <si>
    <r>
      <rPr>
        <sz val="11"/>
        <rFont val="Arial Narrow"/>
        <family val="2"/>
      </rPr>
      <t xml:space="preserve">Trigo </t>
    </r>
  </si>
  <si>
    <r>
      <rPr>
        <sz val="11"/>
        <rFont val="Arial Narrow"/>
        <family val="2"/>
      </rPr>
      <t xml:space="preserve">Cravo-da-índia </t>
    </r>
  </si>
  <si>
    <t>Djagatu</t>
  </si>
  <si>
    <r>
      <rPr>
        <sz val="11"/>
        <rFont val="Arial Narrow"/>
        <family val="2"/>
      </rPr>
      <t xml:space="preserve">Algodão </t>
    </r>
  </si>
  <si>
    <t>Cajueiro</t>
  </si>
  <si>
    <r>
      <rPr>
        <sz val="11"/>
        <rFont val="Arial Narrow"/>
        <family val="2"/>
      </rPr>
      <t xml:space="preserve">Hortelã-pimenta </t>
    </r>
  </si>
  <si>
    <r>
      <rPr>
        <sz val="11"/>
        <rFont val="Arial Narrow"/>
        <family val="2"/>
      </rPr>
      <t xml:space="preserve">Beringela </t>
    </r>
  </si>
  <si>
    <r>
      <rPr>
        <sz val="11"/>
        <rFont val="Arial Narrow"/>
        <family val="2"/>
      </rPr>
      <t xml:space="preserve">Beterraba </t>
    </r>
  </si>
  <si>
    <r>
      <rPr>
        <sz val="11"/>
        <rFont val="Arial Narrow"/>
        <family val="2"/>
      </rPr>
      <t>Outro (especificar)</t>
    </r>
  </si>
  <si>
    <t>Feijão</t>
  </si>
  <si>
    <r>
      <rPr>
        <sz val="11"/>
        <rFont val="Arial Narrow"/>
        <family val="2"/>
      </rPr>
      <t xml:space="preserve">Espinafre </t>
    </r>
  </si>
  <si>
    <r>
      <rPr>
        <sz val="11"/>
        <rFont val="Arial Narrow"/>
        <family val="2"/>
      </rPr>
      <t xml:space="preserve">Cebola </t>
    </r>
  </si>
  <si>
    <r>
      <rPr>
        <sz val="11"/>
        <rFont val="Arial Narrow"/>
        <family val="2"/>
      </rPr>
      <t xml:space="preserve">Ervilhas </t>
    </r>
  </si>
  <si>
    <t>Papaeira</t>
  </si>
  <si>
    <t>Feijão-congo</t>
  </si>
  <si>
    <r>
      <rPr>
        <sz val="11"/>
        <rFont val="Arial Narrow"/>
        <family val="2"/>
      </rPr>
      <t xml:space="preserve">Aipo </t>
    </r>
  </si>
  <si>
    <r>
      <rPr>
        <sz val="11"/>
        <rFont val="Arial Narrow"/>
        <family val="2"/>
      </rPr>
      <t xml:space="preserve">Pepino </t>
    </r>
  </si>
  <si>
    <t>Manfafa</t>
  </si>
  <si>
    <t>Ananas</t>
  </si>
  <si>
    <t>Mancarra</t>
  </si>
  <si>
    <r>
      <rPr>
        <sz val="11"/>
        <rFont val="Arial Narrow"/>
        <family val="2"/>
      </rPr>
      <t xml:space="preserve">Salsa </t>
    </r>
  </si>
  <si>
    <r>
      <rPr>
        <sz val="11"/>
        <rFont val="Arial Narrow"/>
        <family val="2"/>
      </rPr>
      <t xml:space="preserve">Abóbora </t>
    </r>
  </si>
  <si>
    <r>
      <rPr>
        <sz val="11"/>
        <rFont val="Arial Narrow"/>
        <family val="2"/>
      </rPr>
      <t xml:space="preserve">Inhame </t>
    </r>
  </si>
  <si>
    <t>Goiabeira</t>
  </si>
  <si>
    <t>Candja</t>
  </si>
  <si>
    <r>
      <rPr>
        <sz val="11"/>
        <rFont val="Arial Narrow"/>
        <family val="2"/>
      </rPr>
      <t xml:space="preserve">Malagueta </t>
    </r>
  </si>
  <si>
    <r>
      <rPr>
        <sz val="11"/>
        <rFont val="Arial Narrow"/>
        <family val="2"/>
      </rPr>
      <t xml:space="preserve">Alho </t>
    </r>
  </si>
  <si>
    <r>
      <rPr>
        <sz val="11"/>
        <rFont val="Arial Narrow"/>
        <family val="2"/>
      </rPr>
      <t>Cacau</t>
    </r>
  </si>
  <si>
    <t>Coqueiro</t>
  </si>
  <si>
    <t>Badjiqui</t>
  </si>
  <si>
    <t>Cana-de-açucar</t>
  </si>
  <si>
    <t>Pinha</t>
  </si>
  <si>
    <t>Jaca</t>
  </si>
  <si>
    <t>Tifa</t>
  </si>
  <si>
    <t>Bananeira</t>
  </si>
  <si>
    <t>Couve</t>
  </si>
  <si>
    <t>Milho preto...........1</t>
  </si>
  <si>
    <t>Milho cavalo..........2</t>
  </si>
  <si>
    <t>Arroz paddy...........3</t>
  </si>
  <si>
    <t>Arroz Mpampam.........4</t>
  </si>
  <si>
    <t>Milho bacil...........5</t>
  </si>
  <si>
    <t>Fundo.................8</t>
  </si>
  <si>
    <t xml:space="preserve">Gengibre </t>
  </si>
  <si>
    <t>Feijão................9</t>
  </si>
  <si>
    <t>Mancarra..............11</t>
  </si>
  <si>
    <t>Candja................12</t>
  </si>
  <si>
    <t>Badjiqui..............13</t>
  </si>
  <si>
    <t>Sésamo................14</t>
  </si>
  <si>
    <t>Mandioca..............15</t>
  </si>
  <si>
    <t>Batata-doce...........16</t>
  </si>
  <si>
    <t>Pimento...............18</t>
  </si>
  <si>
    <t>Salsa.................24</t>
  </si>
  <si>
    <t>Malagueta.............25</t>
  </si>
  <si>
    <t>Alface................28</t>
  </si>
  <si>
    <t>Repolho...............29</t>
  </si>
  <si>
    <t>Tomate................30</t>
  </si>
  <si>
    <t>Cenoura...............31</t>
  </si>
  <si>
    <t>Djagatu...............32</t>
  </si>
  <si>
    <t>Beringela.............33</t>
  </si>
  <si>
    <t>Cebola................34</t>
  </si>
  <si>
    <t>Pepino................35</t>
  </si>
  <si>
    <t>Feijão verde..........38</t>
  </si>
  <si>
    <t>Chabeu................52</t>
  </si>
  <si>
    <t>Outro (especificar)...55</t>
  </si>
  <si>
    <t>Cajueiro..............56</t>
  </si>
  <si>
    <t>Mangueira.............57</t>
  </si>
  <si>
    <t>Limoeiro..............67</t>
  </si>
  <si>
    <r>
      <rPr>
        <sz val="12"/>
        <rFont val="Arial"/>
        <family val="2"/>
      </rPr>
      <t>OBSERVAÇÕES</t>
    </r>
  </si>
  <si>
    <r>
      <rPr>
        <b/>
        <sz val="9"/>
        <rFont val="Arial Narrow"/>
        <family val="2"/>
      </rPr>
      <t>1</t>
    </r>
    <r>
      <rPr>
        <sz val="9"/>
        <rFont val="Arial Narrow"/>
        <family val="2"/>
      </rPr>
      <t xml:space="preserve"> Nenhum</t>
    </r>
  </si>
  <si>
    <r>
      <t xml:space="preserve">2 </t>
    </r>
    <r>
      <rPr>
        <sz val="9"/>
        <rFont val="Arial Narrow"/>
        <family val="2"/>
      </rPr>
      <t>Ensino Básico (1 a 6 classe)</t>
    </r>
  </si>
  <si>
    <r>
      <t>3</t>
    </r>
    <r>
      <rPr>
        <sz val="9"/>
        <rFont val="Arial Narrow"/>
        <family val="2"/>
      </rPr>
      <t xml:space="preserve"> Secundário 1º ciclo (7 a 9 classe)</t>
    </r>
  </si>
  <si>
    <r>
      <rPr>
        <b/>
        <sz val="9"/>
        <rFont val="Arial Narrow"/>
        <family val="2"/>
      </rPr>
      <t xml:space="preserve">4 </t>
    </r>
    <r>
      <rPr>
        <sz val="9"/>
        <rFont val="Arial Narrow"/>
        <family val="2"/>
      </rPr>
      <t>Técnico profissional 1º ciclo ( 7 a 9 classe)</t>
    </r>
  </si>
  <si>
    <r>
      <t>5</t>
    </r>
    <r>
      <rPr>
        <sz val="9"/>
        <rFont val="Arial Narrow"/>
        <family val="2"/>
      </rPr>
      <t xml:space="preserve"> Secundário 2º ciclo (10 a 12 classe)</t>
    </r>
  </si>
  <si>
    <r>
      <rPr>
        <b/>
        <sz val="9"/>
        <rFont val="Arial Narrow"/>
        <family val="2"/>
      </rPr>
      <t>6</t>
    </r>
    <r>
      <rPr>
        <sz val="9"/>
        <rFont val="Arial Narrow"/>
        <family val="2"/>
      </rPr>
      <t xml:space="preserve"> Tecnico profissional 2º ciclo (10 a 12 classe)</t>
    </r>
  </si>
  <si>
    <r>
      <t>7</t>
    </r>
    <r>
      <rPr>
        <sz val="9"/>
        <rFont val="Arial Narrow"/>
        <family val="2"/>
      </rPr>
      <t xml:space="preserve"> Superior</t>
    </r>
  </si>
  <si>
    <r>
      <t xml:space="preserve">8 </t>
    </r>
    <r>
      <rPr>
        <sz val="9"/>
        <rFont val="Arial Narrow"/>
        <family val="2"/>
      </rPr>
      <t>Não sabe (NS)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</si>
</sst>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 #,##0.00_);_(* \(#,##0.00\);_(* &quot;-&quot;??_);_(@_)"/>
    <numFmt numFmtId="165" formatCode="_-* #,##0.00\ _F_-;\-* #,##0.00\ _F_-;_-* &quot;-&quot;??\ _F_-;_-@_-"/>
    <numFmt numFmtId="166" formatCode="00"/>
    <numFmt numFmtId="167" formatCode="\(0.00\)"/>
    <numFmt numFmtId="168" formatCode="_-* #,##0.00\ [$€]_-;\-* #,##0.00\ [$€]_-;_-* &quot;-&quot;??\ [$€]_-;_-@_-"/>
  </numFmts>
  <fonts count="62">
    <font>
      <sz val="10"/>
      <name val="Arial"/>
    </font>
    <font>
      <sz val="10"/>
      <name val="Arial"/>
      <family val="2"/>
    </font>
    <font>
      <sz val="12"/>
      <name val="Arial"/>
      <family val="2"/>
    </font>
    <font>
      <b/>
      <sz val="12"/>
      <name val="Arial"/>
      <family val="2"/>
    </font>
    <font>
      <b/>
      <sz val="10"/>
      <name val="Arial"/>
      <family val="2"/>
    </font>
    <font>
      <b/>
      <sz val="14"/>
      <name val="Arial"/>
      <family val="2"/>
    </font>
    <font>
      <sz val="10"/>
      <name val="Arial"/>
      <family val="2"/>
    </font>
    <font>
      <b/>
      <sz val="10"/>
      <name val="Arial Narrow"/>
      <family val="2"/>
    </font>
    <font>
      <sz val="10"/>
      <name val="Arial Narrow"/>
      <family val="2"/>
    </font>
    <font>
      <b/>
      <sz val="8"/>
      <name val="Arial"/>
      <family val="2"/>
    </font>
    <font>
      <b/>
      <sz val="9"/>
      <name val="Arial"/>
      <family val="2"/>
    </font>
    <font>
      <sz val="8"/>
      <name val="Arial Narrow"/>
      <family val="2"/>
    </font>
    <font>
      <b/>
      <sz val="12"/>
      <name val="Arial Narrow"/>
      <family val="2"/>
    </font>
    <font>
      <b/>
      <sz val="8"/>
      <name val="Arial Narrow"/>
      <family val="2"/>
    </font>
    <font>
      <sz val="8"/>
      <name val="Arial"/>
      <family val="2"/>
    </font>
    <font>
      <sz val="12"/>
      <name val="Arial Narrow"/>
      <family val="2"/>
    </font>
    <font>
      <b/>
      <u/>
      <sz val="12"/>
      <name val="Arial Narrow"/>
      <family val="2"/>
    </font>
    <font>
      <u/>
      <sz val="10"/>
      <name val="Arial Narrow"/>
      <family val="2"/>
    </font>
    <font>
      <sz val="10"/>
      <color indexed="8"/>
      <name val="Arial"/>
      <family val="2"/>
    </font>
    <font>
      <sz val="9"/>
      <name val="Arial Narrow"/>
      <family val="2"/>
    </font>
    <font>
      <sz val="9"/>
      <name val="Arial"/>
      <family val="2"/>
    </font>
    <font>
      <b/>
      <u/>
      <sz val="11"/>
      <name val="Arial"/>
      <family val="2"/>
    </font>
    <font>
      <sz val="8"/>
      <name val="Courier New"/>
      <family val="3"/>
    </font>
    <font>
      <b/>
      <sz val="9"/>
      <name val="Arial Narrow"/>
      <family val="2"/>
    </font>
    <font>
      <sz val="10"/>
      <color indexed="55"/>
      <name val="Arial"/>
      <family val="2"/>
    </font>
    <font>
      <sz val="14"/>
      <name val="Arial"/>
      <family val="2"/>
    </font>
    <font>
      <b/>
      <i/>
      <sz val="9"/>
      <name val="Arial Narrow"/>
      <family val="2"/>
    </font>
    <font>
      <b/>
      <u/>
      <sz val="9"/>
      <name val="Arial Narrow"/>
      <family val="2"/>
    </font>
    <font>
      <sz val="10"/>
      <name val="Arial"/>
      <family val="2"/>
    </font>
    <font>
      <b/>
      <sz val="16"/>
      <name val="Arial Narrow"/>
      <family val="2"/>
    </font>
    <font>
      <i/>
      <sz val="9"/>
      <name val="Arial Narrow"/>
      <family val="2"/>
    </font>
    <font>
      <sz val="10"/>
      <name val="Arial"/>
      <family val="2"/>
    </font>
    <font>
      <i/>
      <sz val="8"/>
      <name val="Arial Narrow"/>
      <family val="2"/>
    </font>
    <font>
      <u/>
      <sz val="9"/>
      <name val="Arial Narrow"/>
      <family val="2"/>
    </font>
    <font>
      <sz val="11"/>
      <name val="Times New Roman"/>
      <family val="1"/>
    </font>
    <font>
      <sz val="11"/>
      <name val="Arial Narrow"/>
      <family val="2"/>
    </font>
    <font>
      <b/>
      <sz val="11"/>
      <name val="Arial Narrow"/>
      <family val="2"/>
    </font>
    <font>
      <sz val="11"/>
      <color theme="1"/>
      <name val="Calibri"/>
      <family val="2"/>
      <scheme val="minor"/>
    </font>
    <font>
      <sz val="10"/>
      <color theme="1"/>
      <name val="Arial"/>
      <family val="2"/>
    </font>
    <font>
      <sz val="10"/>
      <color rgb="FFFF0000"/>
      <name val="Arial"/>
      <family val="2"/>
    </font>
    <font>
      <sz val="9"/>
      <color theme="0" tint="-0.14999847407452621"/>
      <name val="Arial Narrow"/>
      <family val="2"/>
    </font>
    <font>
      <sz val="9"/>
      <name val="Calibri"/>
      <family val="2"/>
    </font>
    <font>
      <sz val="9"/>
      <color theme="1"/>
      <name val="Arial Narrow"/>
      <family val="2"/>
    </font>
    <font>
      <sz val="8"/>
      <color theme="1"/>
      <name val="Arial Narrow"/>
      <family val="2"/>
    </font>
    <font>
      <b/>
      <sz val="9"/>
      <color theme="1"/>
      <name val="Arial Narrow"/>
      <family val="2"/>
    </font>
    <font>
      <sz val="9"/>
      <color rgb="FFFF0000"/>
      <name val="Arial Narrow"/>
      <family val="2"/>
    </font>
    <font>
      <sz val="9"/>
      <color theme="9"/>
      <name val="Arial Narrow"/>
      <family val="2"/>
    </font>
    <font>
      <sz val="9"/>
      <color rgb="FF00B050"/>
      <name val="Arial Narrow"/>
      <family val="2"/>
    </font>
    <font>
      <sz val="10"/>
      <color rgb="FFFF0000"/>
      <name val="Arial Narrow"/>
      <family val="2"/>
    </font>
    <font>
      <sz val="10"/>
      <color rgb="FF00B050"/>
      <name val="Arial"/>
      <family val="2"/>
    </font>
    <font>
      <sz val="9"/>
      <name val="Arial Narrow"/>
      <family val="2"/>
      <charset val="1"/>
    </font>
    <font>
      <b/>
      <sz val="9"/>
      <color rgb="FF00B050"/>
      <name val="Arial Narrow"/>
      <family val="2"/>
    </font>
    <font>
      <i/>
      <u/>
      <sz val="9"/>
      <name val="Arial Narrow"/>
      <family val="2"/>
    </font>
    <font>
      <b/>
      <sz val="9"/>
      <name val="Arial Narrow"/>
      <family val="2"/>
      <charset val="1"/>
    </font>
    <font>
      <sz val="9"/>
      <color rgb="FF000000"/>
      <name val="Arial Narrow"/>
      <family val="2"/>
    </font>
    <font>
      <b/>
      <sz val="8"/>
      <color rgb="FF000000"/>
      <name val="Calibri"/>
      <family val="2"/>
      <charset val="1"/>
    </font>
    <font>
      <b/>
      <sz val="8"/>
      <color theme="1"/>
      <name val="Arial"/>
      <family val="2"/>
    </font>
    <font>
      <sz val="8"/>
      <color theme="1"/>
      <name val="Arial"/>
      <family val="2"/>
    </font>
    <font>
      <sz val="11"/>
      <name val="Arial"/>
      <family val="2"/>
    </font>
    <font>
      <b/>
      <sz val="11"/>
      <name val="Arial"/>
      <family val="2"/>
    </font>
    <font>
      <i/>
      <sz val="11"/>
      <name val="Arial Narrow"/>
      <family val="2"/>
    </font>
    <font>
      <vertAlign val="superscript"/>
      <sz val="11"/>
      <name val="Arial Narrow"/>
      <family val="2"/>
    </font>
  </fonts>
  <fills count="8">
    <fill>
      <patternFill patternType="none"/>
    </fill>
    <fill>
      <patternFill patternType="gray125"/>
    </fill>
    <fill>
      <patternFill patternType="solid">
        <fgColor indexed="9"/>
        <bgColor indexed="64"/>
      </patternFill>
    </fill>
    <fill>
      <patternFill patternType="solid">
        <fgColor indexed="65"/>
        <bgColor indexed="64"/>
      </patternFill>
    </fill>
    <fill>
      <patternFill patternType="solid">
        <fgColor theme="0" tint="-0.249977111117893"/>
        <bgColor indexed="64"/>
      </patternFill>
    </fill>
    <fill>
      <patternFill patternType="solid">
        <fgColor theme="0"/>
        <bgColor indexed="64"/>
      </patternFill>
    </fill>
    <fill>
      <patternFill patternType="solid">
        <fgColor rgb="FFFFFF00"/>
        <bgColor indexed="64"/>
      </patternFill>
    </fill>
    <fill>
      <patternFill patternType="gray0625">
        <fgColor indexed="22"/>
        <bgColor theme="0"/>
      </patternFill>
    </fill>
  </fills>
  <borders count="166">
    <border>
      <left/>
      <right/>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double">
        <color indexed="64"/>
      </top>
      <bottom style="thin">
        <color indexed="64"/>
      </bottom>
      <diagonal/>
    </border>
    <border>
      <left/>
      <right style="thin">
        <color indexed="64"/>
      </right>
      <top/>
      <bottom style="thin">
        <color indexed="64"/>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right/>
      <top/>
      <bottom style="medium">
        <color indexed="64"/>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top style="medium">
        <color indexed="64"/>
      </top>
      <bottom/>
      <diagonal/>
    </border>
    <border>
      <left style="medium">
        <color indexed="64"/>
      </left>
      <right style="thin">
        <color indexed="64"/>
      </right>
      <top/>
      <bottom/>
      <diagonal/>
    </border>
    <border>
      <left/>
      <right style="medium">
        <color indexed="64"/>
      </right>
      <top/>
      <bottom/>
      <diagonal/>
    </border>
    <border>
      <left style="medium">
        <color indexed="64"/>
      </left>
      <right style="thin">
        <color indexed="64"/>
      </right>
      <top style="medium">
        <color indexed="64"/>
      </top>
      <bottom/>
      <diagonal/>
    </border>
    <border>
      <left style="double">
        <color indexed="64"/>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diagonal/>
    </border>
    <border>
      <left style="thin">
        <color indexed="64"/>
      </left>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style="thin">
        <color indexed="64"/>
      </top>
      <bottom style="thin">
        <color indexed="64"/>
      </bottom>
      <diagonal/>
    </border>
    <border>
      <left/>
      <right/>
      <top style="double">
        <color indexed="64"/>
      </top>
      <bottom style="thin">
        <color indexed="64"/>
      </bottom>
      <diagonal/>
    </border>
    <border>
      <left style="thin">
        <color indexed="64"/>
      </left>
      <right style="double">
        <color indexed="64"/>
      </right>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style="double">
        <color indexed="64"/>
      </left>
      <right/>
      <top style="thin">
        <color indexed="64"/>
      </top>
      <bottom style="double">
        <color indexed="64"/>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bottom style="double">
        <color indexed="64"/>
      </bottom>
      <diagonal/>
    </border>
    <border>
      <left style="thin">
        <color indexed="64"/>
      </left>
      <right/>
      <top/>
      <bottom style="double">
        <color indexed="64"/>
      </bottom>
      <diagonal/>
    </border>
    <border>
      <left/>
      <right style="thin">
        <color indexed="64"/>
      </right>
      <top/>
      <bottom style="double">
        <color indexed="64"/>
      </bottom>
      <diagonal/>
    </border>
    <border>
      <left/>
      <right/>
      <top/>
      <bottom style="double">
        <color indexed="64"/>
      </bottom>
      <diagonal/>
    </border>
    <border>
      <left style="thin">
        <color indexed="64"/>
      </left>
      <right style="thin">
        <color indexed="64"/>
      </right>
      <top style="thin">
        <color indexed="8"/>
      </top>
      <bottom style="double">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style="medium">
        <color indexed="64"/>
      </left>
      <right/>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double">
        <color indexed="64"/>
      </left>
      <right/>
      <top/>
      <bottom style="thin">
        <color indexed="64"/>
      </bottom>
      <diagonal/>
    </border>
    <border>
      <left style="double">
        <color indexed="64"/>
      </left>
      <right/>
      <top style="thin">
        <color indexed="64"/>
      </top>
      <bottom style="thin">
        <color indexed="64"/>
      </bottom>
      <diagonal/>
    </border>
    <border>
      <left style="thin">
        <color indexed="64"/>
      </left>
      <right style="double">
        <color indexed="64"/>
      </right>
      <top/>
      <bottom style="double">
        <color indexed="64"/>
      </bottom>
      <diagonal/>
    </border>
    <border>
      <left/>
      <right style="thin">
        <color indexed="64"/>
      </right>
      <top style="thin">
        <color indexed="8"/>
      </top>
      <bottom style="thin">
        <color indexed="8"/>
      </bottom>
      <diagonal/>
    </border>
    <border>
      <left style="thin">
        <color indexed="64"/>
      </left>
      <right/>
      <top style="double">
        <color indexed="64"/>
      </top>
      <bottom/>
      <diagonal/>
    </border>
    <border>
      <left/>
      <right style="thin">
        <color indexed="64"/>
      </right>
      <top/>
      <bottom style="thin">
        <color indexed="8"/>
      </bottom>
      <diagonal/>
    </border>
    <border>
      <left/>
      <right style="thin">
        <color indexed="64"/>
      </right>
      <top style="thin">
        <color indexed="8"/>
      </top>
      <bottom/>
      <diagonal/>
    </border>
    <border>
      <left/>
      <right style="thin">
        <color indexed="64"/>
      </right>
      <top style="thin">
        <color indexed="8"/>
      </top>
      <bottom style="thin">
        <color indexed="64"/>
      </bottom>
      <diagonal/>
    </border>
    <border>
      <left style="medium">
        <color indexed="64"/>
      </left>
      <right style="double">
        <color indexed="64"/>
      </right>
      <top/>
      <bottom style="thin">
        <color indexed="8"/>
      </bottom>
      <diagonal/>
    </border>
    <border>
      <left style="double">
        <color indexed="8"/>
      </left>
      <right style="thin">
        <color indexed="64"/>
      </right>
      <top style="thin">
        <color indexed="8"/>
      </top>
      <bottom style="thin">
        <color indexed="8"/>
      </bottom>
      <diagonal/>
    </border>
    <border>
      <left style="double">
        <color indexed="64"/>
      </left>
      <right style="thin">
        <color indexed="64"/>
      </right>
      <top style="thin">
        <color indexed="64"/>
      </top>
      <bottom style="thin">
        <color indexed="8"/>
      </bottom>
      <diagonal/>
    </border>
    <border>
      <left style="double">
        <color indexed="64"/>
      </left>
      <right style="thin">
        <color indexed="64"/>
      </right>
      <top style="thin">
        <color indexed="8"/>
      </top>
      <bottom style="thin">
        <color indexed="8"/>
      </bottom>
      <diagonal/>
    </border>
    <border>
      <left style="double">
        <color indexed="64"/>
      </left>
      <right style="thin">
        <color indexed="64"/>
      </right>
      <top style="thin">
        <color indexed="8"/>
      </top>
      <bottom style="thin">
        <color indexed="64"/>
      </bottom>
      <diagonal/>
    </border>
    <border>
      <left style="double">
        <color indexed="64"/>
      </left>
      <right style="double">
        <color indexed="64"/>
      </right>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style="double">
        <color indexed="64"/>
      </left>
      <right style="thin">
        <color indexed="64"/>
      </right>
      <top/>
      <bottom style="double">
        <color indexed="64"/>
      </bottom>
      <diagonal/>
    </border>
    <border>
      <left/>
      <right style="double">
        <color indexed="64"/>
      </right>
      <top style="thin">
        <color indexed="64"/>
      </top>
      <bottom style="thin">
        <color indexed="64"/>
      </bottom>
      <diagonal/>
    </border>
    <border>
      <left style="thin">
        <color indexed="8"/>
      </left>
      <right style="thin">
        <color indexed="64"/>
      </right>
      <top style="thin">
        <color indexed="8"/>
      </top>
      <bottom/>
      <diagonal/>
    </border>
    <border>
      <left style="double">
        <color indexed="64"/>
      </left>
      <right style="thin">
        <color indexed="8"/>
      </right>
      <top style="thin">
        <color indexed="8"/>
      </top>
      <bottom/>
      <diagonal/>
    </border>
    <border>
      <left style="medium">
        <color indexed="64"/>
      </left>
      <right/>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double">
        <color indexed="64"/>
      </right>
      <top style="thin">
        <color indexed="64"/>
      </top>
      <bottom style="double">
        <color indexed="64"/>
      </bottom>
      <diagonal/>
    </border>
    <border>
      <left style="double">
        <color indexed="64"/>
      </left>
      <right/>
      <top/>
      <bottom style="double">
        <color indexed="64"/>
      </bottom>
      <diagonal/>
    </border>
    <border>
      <left style="thin">
        <color indexed="64"/>
      </left>
      <right style="thin">
        <color indexed="64"/>
      </right>
      <top/>
      <bottom style="thin">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indexed="64"/>
      </right>
      <top/>
      <bottom/>
      <diagonal/>
    </border>
    <border>
      <left style="thin">
        <color indexed="64"/>
      </left>
      <right style="thin">
        <color rgb="FF000000"/>
      </right>
      <top style="thin">
        <color rgb="FF000000"/>
      </top>
      <bottom/>
      <diagonal/>
    </border>
    <border>
      <left style="thin">
        <color indexed="64"/>
      </left>
      <right style="thin">
        <color rgb="FF000000"/>
      </right>
      <top/>
      <bottom/>
      <diagonal/>
    </border>
    <border>
      <left style="thin">
        <color indexed="64"/>
      </left>
      <right style="thin">
        <color indexed="64"/>
      </right>
      <top style="double">
        <color indexed="64"/>
      </top>
      <bottom/>
      <diagonal/>
    </border>
    <border>
      <left style="thin">
        <color rgb="FF000000"/>
      </left>
      <right style="thin">
        <color indexed="64"/>
      </right>
      <top style="thin">
        <color indexed="64"/>
      </top>
      <bottom/>
      <diagonal/>
    </border>
    <border>
      <left style="thin">
        <color rgb="FF000000"/>
      </left>
      <right style="thin">
        <color rgb="FF000000"/>
      </right>
      <top style="thin">
        <color indexed="64"/>
      </top>
      <bottom/>
      <diagonal/>
    </border>
    <border>
      <left style="thin">
        <color rgb="FF000000"/>
      </left>
      <right style="thin">
        <color rgb="FF000000"/>
      </right>
      <top/>
      <bottom style="thin">
        <color indexed="64"/>
      </bottom>
      <diagonal/>
    </border>
    <border>
      <left style="thin">
        <color rgb="FF000000"/>
      </left>
      <right style="thin">
        <color rgb="FF000000"/>
      </right>
      <top style="thin">
        <color indexed="64"/>
      </top>
      <bottom style="thin">
        <color indexed="64"/>
      </bottom>
      <diagonal/>
    </border>
    <border>
      <left style="thin">
        <color rgb="FF000000"/>
      </left>
      <right style="thin">
        <color rgb="FF000000"/>
      </right>
      <top style="thin">
        <color indexed="64"/>
      </top>
      <bottom style="thin">
        <color rgb="FF000000"/>
      </bottom>
      <diagonal/>
    </border>
    <border>
      <left/>
      <right style="thin">
        <color indexed="64"/>
      </right>
      <top style="thin">
        <color rgb="FF000000"/>
      </top>
      <bottom style="thin">
        <color indexed="64"/>
      </bottom>
      <diagonal/>
    </border>
    <border>
      <left style="double">
        <color indexed="64"/>
      </left>
      <right style="thin">
        <color indexed="64"/>
      </right>
      <top style="thin">
        <color indexed="8"/>
      </top>
      <bottom/>
      <diagonal/>
    </border>
    <border>
      <left style="medium">
        <color indexed="64"/>
      </left>
      <right/>
      <top/>
      <bottom style="thin">
        <color indexed="8"/>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top style="thin">
        <color indexed="64"/>
      </top>
      <bottom/>
      <diagonal/>
    </border>
    <border>
      <left/>
      <right style="thin">
        <color rgb="FF000000"/>
      </right>
      <top style="thin">
        <color indexed="64"/>
      </top>
      <bottom/>
      <diagonal/>
    </border>
    <border>
      <left style="thin">
        <color rgb="FF000000"/>
      </left>
      <right style="thin">
        <color indexed="64"/>
      </right>
      <top style="thin">
        <color indexed="64"/>
      </top>
      <bottom style="thin">
        <color indexed="64"/>
      </bottom>
      <diagonal/>
    </border>
    <border>
      <left style="thin">
        <color indexed="64"/>
      </left>
      <right style="thin">
        <color rgb="FF000000"/>
      </right>
      <top style="thin">
        <color indexed="64"/>
      </top>
      <bottom style="thin">
        <color indexed="64"/>
      </bottom>
      <diagonal/>
    </border>
    <border>
      <left style="thin">
        <color rgb="FF000000"/>
      </left>
      <right style="thin">
        <color indexed="64"/>
      </right>
      <top/>
      <bottom style="thin">
        <color rgb="FF000000"/>
      </bottom>
      <diagonal/>
    </border>
    <border>
      <left style="thin">
        <color indexed="64"/>
      </left>
      <right style="thin">
        <color rgb="FF000000"/>
      </right>
      <top/>
      <bottom style="thin">
        <color rgb="FF000000"/>
      </bottom>
      <diagonal/>
    </border>
    <border>
      <left style="thin">
        <color rgb="FF000000"/>
      </left>
      <right/>
      <top/>
      <bottom style="thin">
        <color indexed="64"/>
      </bottom>
      <diagonal/>
    </border>
    <border>
      <left/>
      <right style="thin">
        <color rgb="FF000000"/>
      </right>
      <top/>
      <bottom style="thin">
        <color indexed="64"/>
      </bottom>
      <diagonal/>
    </border>
    <border>
      <left/>
      <right style="double">
        <color indexed="64"/>
      </right>
      <top/>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indexed="64"/>
      </right>
      <top/>
      <bottom style="thin">
        <color indexed="64"/>
      </bottom>
      <diagonal/>
    </border>
    <border>
      <left style="thin">
        <color indexed="64"/>
      </left>
      <right style="thin">
        <color rgb="FF000000"/>
      </right>
      <top/>
      <bottom style="thin">
        <color indexed="64"/>
      </bottom>
      <diagonal/>
    </border>
    <border>
      <left style="double">
        <color indexed="64"/>
      </left>
      <right style="thin">
        <color indexed="64"/>
      </right>
      <top style="medium">
        <color indexed="64"/>
      </top>
      <bottom/>
      <diagonal/>
    </border>
    <border>
      <left/>
      <right style="double">
        <color indexed="64"/>
      </right>
      <top style="thin">
        <color indexed="64"/>
      </top>
      <bottom/>
      <diagonal/>
    </border>
    <border>
      <left style="thin">
        <color rgb="FF000000"/>
      </left>
      <right style="double">
        <color indexed="64"/>
      </right>
      <top/>
      <bottom style="double">
        <color indexed="64"/>
      </bottom>
      <diagonal/>
    </border>
    <border>
      <left/>
      <right style="thin">
        <color rgb="FF000000"/>
      </right>
      <top/>
      <bottom style="double">
        <color indexed="64"/>
      </bottom>
      <diagonal/>
    </border>
    <border>
      <left/>
      <right style="thin">
        <color indexed="64"/>
      </right>
      <top style="double">
        <color indexed="64"/>
      </top>
      <bottom/>
      <diagonal/>
    </border>
    <border>
      <left style="thin">
        <color indexed="64"/>
      </left>
      <right style="thin">
        <color rgb="FF000000"/>
      </right>
      <top style="double">
        <color indexed="64"/>
      </top>
      <bottom/>
      <diagonal/>
    </border>
    <border>
      <left style="thin">
        <color indexed="64"/>
      </left>
      <right/>
      <top style="thin">
        <color indexed="64"/>
      </top>
      <bottom style="thin">
        <color rgb="FF000000"/>
      </bottom>
      <diagonal/>
    </border>
    <border>
      <left/>
      <right/>
      <top style="thin">
        <color auto="1"/>
      </top>
      <bottom style="thin">
        <color rgb="FF000000"/>
      </bottom>
      <diagonal/>
    </border>
    <border>
      <left/>
      <right style="thin">
        <color rgb="FF000000"/>
      </right>
      <top style="thin">
        <color auto="1"/>
      </top>
      <bottom style="thin">
        <color rgb="FF000000"/>
      </bottom>
      <diagonal/>
    </border>
    <border>
      <left style="thin">
        <color rgb="FF000000"/>
      </left>
      <right/>
      <top style="thin">
        <color indexed="64"/>
      </top>
      <bottom style="thin">
        <color rgb="FF000000"/>
      </bottom>
      <diagonal/>
    </border>
    <border>
      <left/>
      <right style="thin">
        <color auto="1"/>
      </right>
      <top style="thin">
        <color auto="1"/>
      </top>
      <bottom style="thin">
        <color rgb="FF000000"/>
      </bottom>
      <diagonal/>
    </border>
    <border>
      <left style="thin">
        <color rgb="FF000000"/>
      </left>
      <right style="thin">
        <color indexed="64"/>
      </right>
      <top style="thin">
        <color rgb="FF000000"/>
      </top>
      <bottom/>
      <diagonal/>
    </border>
    <border>
      <left style="thin">
        <color indexed="64"/>
      </left>
      <right style="thin">
        <color indexed="64"/>
      </right>
      <top style="thin">
        <color rgb="FF000000"/>
      </top>
      <bottom/>
      <diagonal/>
    </border>
    <border>
      <left style="thin">
        <color indexed="64"/>
      </left>
      <right/>
      <top style="thin">
        <color rgb="FF000000"/>
      </top>
      <bottom/>
      <diagonal/>
    </border>
    <border>
      <left/>
      <right style="thin">
        <color indexed="64"/>
      </right>
      <top style="thin">
        <color rgb="FF000000"/>
      </top>
      <bottom/>
      <diagonal/>
    </border>
    <border>
      <left style="thin">
        <color indexed="64"/>
      </left>
      <right/>
      <top/>
      <bottom style="thin">
        <color rgb="FF000000"/>
      </bottom>
      <diagonal/>
    </border>
    <border>
      <left style="thin">
        <color rgb="FF000000"/>
      </left>
      <right style="thin">
        <color indexed="64"/>
      </right>
      <top/>
      <bottom style="double">
        <color indexed="64"/>
      </bottom>
      <diagonal/>
    </border>
    <border>
      <left/>
      <right style="thin">
        <color rgb="FF000000"/>
      </right>
      <top style="thin">
        <color indexed="64"/>
      </top>
      <bottom style="double">
        <color indexed="64"/>
      </bottom>
      <diagonal/>
    </border>
    <border>
      <left style="thin">
        <color rgb="FF000000"/>
      </left>
      <right/>
      <top/>
      <bottom style="double">
        <color indexed="64"/>
      </bottom>
      <diagonal/>
    </border>
    <border>
      <left style="thin">
        <color indexed="64"/>
      </left>
      <right/>
      <top style="thin">
        <color rgb="FF000000"/>
      </top>
      <bottom style="double">
        <color indexed="64"/>
      </bottom>
      <diagonal/>
    </border>
    <border>
      <left/>
      <right/>
      <top style="thin">
        <color rgb="FF000000"/>
      </top>
      <bottom style="double">
        <color indexed="64"/>
      </bottom>
      <diagonal/>
    </border>
    <border>
      <left/>
      <right style="thin">
        <color indexed="64"/>
      </right>
      <top style="thin">
        <color rgb="FF000000"/>
      </top>
      <bottom style="double">
        <color indexed="64"/>
      </bottom>
      <diagonal/>
    </border>
    <border>
      <left/>
      <right style="thin">
        <color rgb="FF000000"/>
      </right>
      <top style="thin">
        <color rgb="FF000000"/>
      </top>
      <bottom style="double">
        <color indexed="64"/>
      </bottom>
      <diagonal/>
    </border>
    <border>
      <left style="thin">
        <color rgb="FF000000"/>
      </left>
      <right style="thin">
        <color indexed="64"/>
      </right>
      <top style="double">
        <color indexed="64"/>
      </top>
      <bottom/>
      <diagonal/>
    </border>
    <border>
      <left style="thin">
        <color rgb="FF000000"/>
      </left>
      <right/>
      <top style="double">
        <color indexed="64"/>
      </top>
      <bottom/>
      <diagonal/>
    </border>
    <border>
      <left style="thin">
        <color rgb="FF000000"/>
      </left>
      <right style="thin">
        <color rgb="FF000000"/>
      </right>
      <top style="double">
        <color indexed="64"/>
      </top>
      <bottom/>
      <diagonal/>
    </border>
  </borders>
  <cellStyleXfs count="22">
    <xf numFmtId="0" fontId="0" fillId="0" borderId="0"/>
    <xf numFmtId="0" fontId="22" fillId="0" borderId="0" applyNumberFormat="0" applyFill="0" applyBorder="0" applyProtection="0">
      <alignment vertical="center"/>
    </xf>
    <xf numFmtId="165" fontId="1" fillId="0" borderId="0" applyFont="0" applyFill="0" applyBorder="0" applyAlignment="0" applyProtection="0"/>
    <xf numFmtId="164" fontId="18" fillId="0" borderId="0" applyFont="0" applyFill="0" applyBorder="0" applyAlignment="0" applyProtection="0"/>
    <xf numFmtId="165" fontId="28" fillId="0" borderId="0" applyFont="0" applyFill="0" applyBorder="0" applyAlignment="0" applyProtection="0"/>
    <xf numFmtId="165" fontId="31" fillId="0" borderId="0" applyFont="0" applyFill="0" applyBorder="0" applyAlignment="0" applyProtection="0"/>
    <xf numFmtId="165" fontId="6" fillId="0" borderId="0" applyFont="0" applyFill="0" applyBorder="0" applyAlignment="0" applyProtection="0"/>
    <xf numFmtId="168" fontId="1" fillId="0" borderId="0" applyFont="0" applyFill="0" applyBorder="0" applyAlignment="0" applyProtection="0"/>
    <xf numFmtId="168" fontId="28" fillId="0" borderId="0" applyFont="0" applyFill="0" applyBorder="0" applyAlignment="0" applyProtection="0"/>
    <xf numFmtId="0" fontId="21" fillId="0" borderId="0" applyNumberFormat="0" applyFill="0" applyBorder="0" applyProtection="0">
      <alignment horizontal="left"/>
    </xf>
    <xf numFmtId="0" fontId="38" fillId="0" borderId="0"/>
    <xf numFmtId="0" fontId="6" fillId="0" borderId="0"/>
    <xf numFmtId="0" fontId="37" fillId="0" borderId="0"/>
    <xf numFmtId="0" fontId="6" fillId="0" borderId="0"/>
    <xf numFmtId="0" fontId="6" fillId="0" borderId="0"/>
    <xf numFmtId="0" fontId="11" fillId="0" borderId="0"/>
    <xf numFmtId="0" fontId="14" fillId="0" borderId="0"/>
    <xf numFmtId="0" fontId="2" fillId="0" borderId="0"/>
    <xf numFmtId="0" fontId="20" fillId="0" borderId="0" applyNumberFormat="0" applyFill="0" applyBorder="0" applyProtection="0">
      <alignment vertical="top" wrapText="1"/>
    </xf>
    <xf numFmtId="0" fontId="1" fillId="0" borderId="0"/>
    <xf numFmtId="0" fontId="1" fillId="0" borderId="0"/>
    <xf numFmtId="0" fontId="1" fillId="0" borderId="0"/>
  </cellStyleXfs>
  <cellXfs count="3173">
    <xf numFmtId="0" fontId="0" fillId="0" borderId="0" xfId="0"/>
    <xf numFmtId="0" fontId="2" fillId="0" borderId="0" xfId="17"/>
    <xf numFmtId="0" fontId="2" fillId="3" borderId="9" xfId="17" applyFill="1" applyBorder="1"/>
    <xf numFmtId="0" fontId="2" fillId="3" borderId="22" xfId="17" applyFill="1" applyBorder="1"/>
    <xf numFmtId="0" fontId="2" fillId="3" borderId="10" xfId="17" applyFill="1" applyBorder="1"/>
    <xf numFmtId="0" fontId="2" fillId="3" borderId="1" xfId="17" applyFill="1" applyBorder="1"/>
    <xf numFmtId="0" fontId="2" fillId="3" borderId="0" xfId="17" applyFill="1"/>
    <xf numFmtId="0" fontId="2" fillId="3" borderId="2" xfId="17" applyFill="1" applyBorder="1"/>
    <xf numFmtId="0" fontId="2" fillId="3" borderId="23" xfId="17" applyFill="1" applyBorder="1"/>
    <xf numFmtId="0" fontId="2" fillId="3" borderId="24" xfId="17" applyFill="1" applyBorder="1"/>
    <xf numFmtId="0" fontId="2" fillId="3" borderId="12" xfId="17" applyFill="1" applyBorder="1"/>
    <xf numFmtId="0" fontId="4" fillId="0" borderId="0" xfId="17" applyFont="1" applyAlignment="1">
      <alignment horizontal="center"/>
    </xf>
    <xf numFmtId="0" fontId="6" fillId="0" borderId="0" xfId="17" applyFont="1"/>
    <xf numFmtId="0" fontId="4" fillId="0" borderId="0" xfId="17" applyFont="1"/>
    <xf numFmtId="0" fontId="4" fillId="2" borderId="0" xfId="17" applyFont="1" applyFill="1"/>
    <xf numFmtId="0" fontId="24" fillId="0" borderId="0" xfId="17" applyFont="1" applyAlignment="1">
      <alignment horizontal="center"/>
    </xf>
    <xf numFmtId="0" fontId="4" fillId="0" borderId="0" xfId="0" applyFont="1"/>
    <xf numFmtId="0" fontId="4" fillId="0" borderId="0" xfId="0" applyFont="1" applyAlignment="1">
      <alignment vertical="center"/>
    </xf>
    <xf numFmtId="0" fontId="5" fillId="0" borderId="0" xfId="17" applyFont="1"/>
    <xf numFmtId="0" fontId="25" fillId="0" borderId="0" xfId="0" applyFont="1"/>
    <xf numFmtId="0" fontId="24" fillId="0" borderId="0" xfId="17" applyFont="1"/>
    <xf numFmtId="0" fontId="39" fillId="0" borderId="0" xfId="0" applyFont="1"/>
    <xf numFmtId="1" fontId="12" fillId="5" borderId="0" xfId="3" applyNumberFormat="1" applyFont="1" applyFill="1" applyBorder="1" applyAlignment="1">
      <alignment horizontal="left" vertical="center"/>
    </xf>
    <xf numFmtId="0" fontId="19" fillId="5" borderId="10" xfId="0" applyFont="1" applyFill="1" applyBorder="1"/>
    <xf numFmtId="0" fontId="19" fillId="5" borderId="0" xfId="0" applyFont="1" applyFill="1"/>
    <xf numFmtId="0" fontId="19" fillId="5" borderId="1" xfId="0" applyFont="1" applyFill="1" applyBorder="1"/>
    <xf numFmtId="0" fontId="19" fillId="5" borderId="2" xfId="0" applyFont="1" applyFill="1" applyBorder="1"/>
    <xf numFmtId="0" fontId="19" fillId="5" borderId="3" xfId="0" applyFont="1" applyFill="1" applyBorder="1"/>
    <xf numFmtId="0" fontId="19" fillId="5" borderId="3" xfId="17" applyFont="1" applyFill="1" applyBorder="1"/>
    <xf numFmtId="0" fontId="19" fillId="5" borderId="2" xfId="17" applyFont="1" applyFill="1" applyBorder="1"/>
    <xf numFmtId="0" fontId="20" fillId="5" borderId="0" xfId="0" applyFont="1" applyFill="1"/>
    <xf numFmtId="0" fontId="19" fillId="5" borderId="3" xfId="0" applyFont="1" applyFill="1" applyBorder="1" applyAlignment="1">
      <alignment vertical="top" wrapText="1"/>
    </xf>
    <xf numFmtId="0" fontId="19" fillId="5" borderId="1" xfId="0" applyFont="1" applyFill="1" applyBorder="1" applyAlignment="1">
      <alignment horizontal="left" vertical="top"/>
    </xf>
    <xf numFmtId="0" fontId="19" fillId="5" borderId="9" xfId="0" applyFont="1" applyFill="1" applyBorder="1"/>
    <xf numFmtId="0" fontId="23" fillId="5" borderId="3" xfId="17" applyFont="1" applyFill="1" applyBorder="1" applyAlignment="1">
      <alignment horizontal="center"/>
    </xf>
    <xf numFmtId="0" fontId="19" fillId="5" borderId="36" xfId="0" applyFont="1" applyFill="1" applyBorder="1"/>
    <xf numFmtId="0" fontId="19" fillId="5" borderId="4" xfId="0" applyFont="1" applyFill="1" applyBorder="1"/>
    <xf numFmtId="0" fontId="19" fillId="5" borderId="5" xfId="0" applyFont="1" applyFill="1" applyBorder="1"/>
    <xf numFmtId="0" fontId="8" fillId="0" borderId="0" xfId="17" applyFont="1" applyAlignment="1">
      <alignment vertical="center"/>
    </xf>
    <xf numFmtId="0" fontId="19" fillId="0" borderId="0" xfId="17" applyFont="1" applyAlignment="1">
      <alignment vertical="top" wrapText="1"/>
    </xf>
    <xf numFmtId="0" fontId="23" fillId="5" borderId="3" xfId="0" applyFont="1" applyFill="1" applyBorder="1" applyAlignment="1">
      <alignment vertical="top" wrapText="1"/>
    </xf>
    <xf numFmtId="0" fontId="19" fillId="0" borderId="0" xfId="17" applyFont="1"/>
    <xf numFmtId="0" fontId="7" fillId="2" borderId="0" xfId="17" applyFont="1" applyFill="1" applyAlignment="1">
      <alignment horizontal="left" vertical="center"/>
    </xf>
    <xf numFmtId="0" fontId="19" fillId="0" borderId="0" xfId="17" applyFont="1" applyAlignment="1">
      <alignment wrapText="1"/>
    </xf>
    <xf numFmtId="0" fontId="19" fillId="5" borderId="3" xfId="17" applyFont="1" applyFill="1" applyBorder="1" applyAlignment="1">
      <alignment vertical="top" wrapText="1"/>
    </xf>
    <xf numFmtId="0" fontId="19" fillId="0" borderId="2" xfId="17" applyFont="1" applyBorder="1" applyAlignment="1">
      <alignment wrapText="1"/>
    </xf>
    <xf numFmtId="0" fontId="6" fillId="0" borderId="0" xfId="11"/>
    <xf numFmtId="0" fontId="19" fillId="0" borderId="0" xfId="11" applyFont="1"/>
    <xf numFmtId="0" fontId="19" fillId="5" borderId="37" xfId="0" applyFont="1" applyFill="1" applyBorder="1"/>
    <xf numFmtId="0" fontId="8" fillId="2" borderId="0" xfId="17" applyFont="1" applyFill="1" applyAlignment="1">
      <alignment horizontal="left" vertical="center"/>
    </xf>
    <xf numFmtId="0" fontId="3" fillId="0" borderId="0" xfId="0" applyFont="1"/>
    <xf numFmtId="0" fontId="2" fillId="0" borderId="0" xfId="0" applyFont="1"/>
    <xf numFmtId="0" fontId="12" fillId="2" borderId="0" xfId="17" applyFont="1" applyFill="1" applyAlignment="1">
      <alignment horizontal="center" vertical="center"/>
    </xf>
    <xf numFmtId="0" fontId="15" fillId="0" borderId="0" xfId="17" applyFont="1" applyAlignment="1">
      <alignment horizontal="center" vertical="center"/>
    </xf>
    <xf numFmtId="0" fontId="12" fillId="5" borderId="0" xfId="17" applyFont="1" applyFill="1" applyAlignment="1">
      <alignment horizontal="center" vertical="center"/>
    </xf>
    <xf numFmtId="0" fontId="12" fillId="0" borderId="0" xfId="17" applyFont="1" applyAlignment="1">
      <alignment horizontal="center" vertical="center"/>
    </xf>
    <xf numFmtId="0" fontId="15" fillId="0" borderId="0" xfId="11" applyFont="1" applyAlignment="1">
      <alignment horizontal="center"/>
    </xf>
    <xf numFmtId="0" fontId="8" fillId="0" borderId="0" xfId="11" applyFont="1"/>
    <xf numFmtId="0" fontId="15" fillId="0" borderId="0" xfId="11" applyFont="1" applyAlignment="1">
      <alignment horizontal="right" vertical="center"/>
    </xf>
    <xf numFmtId="0" fontId="8" fillId="0" borderId="0" xfId="11" applyFont="1" applyAlignment="1">
      <alignment horizontal="right" vertical="center"/>
    </xf>
    <xf numFmtId="0" fontId="17" fillId="0" borderId="0" xfId="11" applyFont="1" applyAlignment="1">
      <alignment horizontal="right"/>
    </xf>
    <xf numFmtId="0" fontId="15" fillId="0" borderId="0" xfId="11" applyFont="1"/>
    <xf numFmtId="0" fontId="7" fillId="0" borderId="0" xfId="11" applyFont="1" applyAlignment="1">
      <alignment vertical="center"/>
    </xf>
    <xf numFmtId="0" fontId="19" fillId="0" borderId="79" xfId="11" applyFont="1" applyBorder="1" applyAlignment="1">
      <alignment horizontal="center" vertical="center"/>
    </xf>
    <xf numFmtId="0" fontId="12" fillId="0" borderId="0" xfId="11" applyFont="1" applyAlignment="1">
      <alignment vertical="center"/>
    </xf>
    <xf numFmtId="0" fontId="19" fillId="0" borderId="0" xfId="11" applyFont="1" applyAlignment="1">
      <alignment vertical="center"/>
    </xf>
    <xf numFmtId="0" fontId="7" fillId="0" borderId="0" xfId="11" applyFont="1" applyAlignment="1">
      <alignment horizontal="center" vertical="center"/>
    </xf>
    <xf numFmtId="1" fontId="8" fillId="0" borderId="0" xfId="6" applyNumberFormat="1" applyFont="1" applyFill="1" applyBorder="1" applyAlignment="1">
      <alignment horizontal="left" vertical="center"/>
    </xf>
    <xf numFmtId="0" fontId="12" fillId="0" borderId="0" xfId="11" applyFont="1" applyAlignment="1">
      <alignment horizontal="center" vertical="center"/>
    </xf>
    <xf numFmtId="0" fontId="15" fillId="0" borderId="0" xfId="11" applyFont="1" applyAlignment="1">
      <alignment vertical="center"/>
    </xf>
    <xf numFmtId="0" fontId="7" fillId="0" borderId="0" xfId="11" applyFont="1" applyAlignment="1">
      <alignment horizontal="center"/>
    </xf>
    <xf numFmtId="0" fontId="15" fillId="0" borderId="0" xfId="11" applyFont="1" applyAlignment="1">
      <alignment horizontal="center" vertical="center"/>
    </xf>
    <xf numFmtId="0" fontId="8" fillId="0" borderId="0" xfId="11" applyFont="1" applyAlignment="1">
      <alignment vertical="center"/>
    </xf>
    <xf numFmtId="1" fontId="19" fillId="0" borderId="0" xfId="6" applyNumberFormat="1" applyFont="1" applyFill="1" applyBorder="1" applyAlignment="1">
      <alignment horizontal="left" vertical="center"/>
    </xf>
    <xf numFmtId="0" fontId="12" fillId="0" borderId="0" xfId="11" applyFont="1" applyAlignment="1">
      <alignment horizontal="center"/>
    </xf>
    <xf numFmtId="0" fontId="2" fillId="0" borderId="0" xfId="11" applyFont="1"/>
    <xf numFmtId="0" fontId="2" fillId="0" borderId="0" xfId="11" applyFont="1" applyAlignment="1">
      <alignment horizontal="right" vertical="center"/>
    </xf>
    <xf numFmtId="0" fontId="2" fillId="0" borderId="0" xfId="11" applyFont="1" applyAlignment="1">
      <alignment horizontal="center"/>
    </xf>
    <xf numFmtId="0" fontId="2" fillId="0" borderId="0" xfId="11" applyFont="1" applyAlignment="1">
      <alignment horizontal="center" vertical="center"/>
    </xf>
    <xf numFmtId="0" fontId="3" fillId="0" borderId="0" xfId="11" applyFont="1" applyAlignment="1">
      <alignment horizontal="center"/>
    </xf>
    <xf numFmtId="0" fontId="4" fillId="2" borderId="9" xfId="17" applyFont="1" applyFill="1" applyBorder="1"/>
    <xf numFmtId="0" fontId="4" fillId="2" borderId="22" xfId="17" applyFont="1" applyFill="1" applyBorder="1"/>
    <xf numFmtId="0" fontId="4" fillId="2" borderId="10" xfId="17" applyFont="1" applyFill="1" applyBorder="1"/>
    <xf numFmtId="0" fontId="19" fillId="0" borderId="2" xfId="17" applyFont="1" applyBorder="1"/>
    <xf numFmtId="0" fontId="19" fillId="0" borderId="1" xfId="17" applyFont="1" applyBorder="1" applyAlignment="1">
      <alignment wrapText="1"/>
    </xf>
    <xf numFmtId="0" fontId="19" fillId="5" borderId="3" xfId="0" applyFont="1" applyFill="1" applyBorder="1" applyAlignment="1">
      <alignment vertical="top"/>
    </xf>
    <xf numFmtId="0" fontId="11" fillId="5" borderId="0" xfId="0" applyFont="1" applyFill="1"/>
    <xf numFmtId="0" fontId="19" fillId="5" borderId="0" xfId="0" applyFont="1" applyFill="1" applyAlignment="1">
      <alignment horizontal="left"/>
    </xf>
    <xf numFmtId="0" fontId="19" fillId="5" borderId="3" xfId="0" applyFont="1" applyFill="1" applyBorder="1" applyAlignment="1">
      <alignment horizontal="left"/>
    </xf>
    <xf numFmtId="0" fontId="19" fillId="5" borderId="22" xfId="0" applyFont="1" applyFill="1" applyBorder="1" applyAlignment="1">
      <alignment vertical="top"/>
    </xf>
    <xf numFmtId="0" fontId="19" fillId="5" borderId="1" xfId="0" applyFont="1" applyFill="1" applyBorder="1" applyAlignment="1">
      <alignment vertical="top" wrapText="1"/>
    </xf>
    <xf numFmtId="0" fontId="19" fillId="0" borderId="0" xfId="11" applyFont="1" applyAlignment="1">
      <alignment horizontal="center" vertical="center"/>
    </xf>
    <xf numFmtId="0" fontId="12" fillId="0" borderId="0" xfId="11" applyFont="1"/>
    <xf numFmtId="0" fontId="23" fillId="0" borderId="0" xfId="11" applyFont="1" applyAlignment="1">
      <alignment vertical="center"/>
    </xf>
    <xf numFmtId="0" fontId="23" fillId="6" borderId="3" xfId="0" applyFont="1" applyFill="1" applyBorder="1" applyAlignment="1">
      <alignment vertical="top" wrapText="1"/>
    </xf>
    <xf numFmtId="0" fontId="23" fillId="6" borderId="3" xfId="0" quotePrefix="1" applyFont="1" applyFill="1" applyBorder="1" applyAlignment="1">
      <alignment vertical="top" wrapText="1"/>
    </xf>
    <xf numFmtId="0" fontId="23" fillId="6" borderId="3" xfId="0" applyFont="1" applyFill="1" applyBorder="1" applyAlignment="1">
      <alignment horizontal="left" vertical="top" wrapText="1"/>
    </xf>
    <xf numFmtId="167" fontId="23" fillId="5" borderId="8" xfId="17" applyNumberFormat="1" applyFont="1" applyFill="1" applyBorder="1" applyAlignment="1">
      <alignment horizontal="left" wrapText="1"/>
    </xf>
    <xf numFmtId="0" fontId="8" fillId="5" borderId="3" xfId="17" applyFont="1" applyFill="1" applyBorder="1"/>
    <xf numFmtId="0" fontId="19" fillId="6" borderId="0" xfId="17" applyFont="1" applyFill="1"/>
    <xf numFmtId="0" fontId="19" fillId="5" borderId="4" xfId="0" applyFont="1" applyFill="1" applyBorder="1" applyAlignment="1">
      <alignment horizontal="center" vertical="center"/>
    </xf>
    <xf numFmtId="167" fontId="23" fillId="5" borderId="8" xfId="17" applyNumberFormat="1" applyFont="1" applyFill="1" applyBorder="1" applyAlignment="1">
      <alignment horizontal="left" vertical="top" wrapText="1"/>
    </xf>
    <xf numFmtId="0" fontId="19" fillId="5" borderId="5" xfId="0" applyFont="1" applyFill="1" applyBorder="1" applyAlignment="1">
      <alignment vertical="center" wrapText="1"/>
    </xf>
    <xf numFmtId="0" fontId="19" fillId="5" borderId="12" xfId="0" applyFont="1" applyFill="1" applyBorder="1" applyAlignment="1">
      <alignment horizontal="left" vertical="center" wrapText="1"/>
    </xf>
    <xf numFmtId="0" fontId="19" fillId="5" borderId="4" xfId="0" applyFont="1" applyFill="1" applyBorder="1" applyAlignment="1">
      <alignment horizontal="left" vertical="center" wrapText="1"/>
    </xf>
    <xf numFmtId="0" fontId="19" fillId="5" borderId="40" xfId="10" applyFont="1" applyFill="1" applyBorder="1" applyAlignment="1">
      <alignment horizontal="left" vertical="center" wrapText="1"/>
    </xf>
    <xf numFmtId="0" fontId="19" fillId="5" borderId="5" xfId="10" applyFont="1" applyFill="1" applyBorder="1" applyAlignment="1">
      <alignment horizontal="left" vertical="center" wrapText="1"/>
    </xf>
    <xf numFmtId="0" fontId="19" fillId="5" borderId="5" xfId="0" applyFont="1" applyFill="1" applyBorder="1" applyAlignment="1">
      <alignment horizontal="left" vertical="center" wrapText="1"/>
    </xf>
    <xf numFmtId="0" fontId="19" fillId="5" borderId="5" xfId="0" applyFont="1" applyFill="1" applyBorder="1" applyAlignment="1">
      <alignment vertical="center"/>
    </xf>
    <xf numFmtId="0" fontId="19" fillId="5" borderId="24" xfId="0" applyFont="1" applyFill="1" applyBorder="1" applyAlignment="1">
      <alignment horizontal="left" vertical="center" wrapText="1"/>
    </xf>
    <xf numFmtId="0" fontId="19" fillId="5" borderId="4" xfId="0" applyFont="1" applyFill="1" applyBorder="1" applyAlignment="1">
      <alignment vertical="center" wrapText="1"/>
    </xf>
    <xf numFmtId="0" fontId="19" fillId="5" borderId="4" xfId="0" applyFont="1" applyFill="1" applyBorder="1" applyAlignment="1">
      <alignment vertical="center"/>
    </xf>
    <xf numFmtId="0" fontId="19" fillId="5" borderId="36" xfId="17" applyFont="1" applyFill="1" applyBorder="1"/>
    <xf numFmtId="167" fontId="23" fillId="5" borderId="9" xfId="17" applyNumberFormat="1" applyFont="1" applyFill="1" applyBorder="1"/>
    <xf numFmtId="0" fontId="19" fillId="5" borderId="0" xfId="11" applyFont="1" applyFill="1"/>
    <xf numFmtId="0" fontId="1" fillId="5" borderId="0" xfId="11" applyFont="1" applyFill="1"/>
    <xf numFmtId="0" fontId="2" fillId="6" borderId="0" xfId="17" applyFill="1"/>
    <xf numFmtId="0" fontId="19" fillId="5" borderId="3" xfId="0" applyFont="1" applyFill="1" applyBorder="1" applyAlignment="1">
      <alignment horizontal="left" vertical="top" wrapText="1"/>
    </xf>
    <xf numFmtId="0" fontId="19" fillId="5" borderId="3" xfId="17" applyFont="1" applyFill="1" applyBorder="1" applyAlignment="1">
      <alignment horizontal="left" wrapText="1"/>
    </xf>
    <xf numFmtId="0" fontId="19" fillId="5" borderId="0" xfId="0" applyFont="1" applyFill="1" applyAlignment="1">
      <alignment horizontal="left" vertical="top" wrapText="1"/>
    </xf>
    <xf numFmtId="1" fontId="7" fillId="5" borderId="0" xfId="3" applyNumberFormat="1" applyFont="1" applyFill="1" applyBorder="1" applyAlignment="1">
      <alignment horizontal="left" vertical="center"/>
    </xf>
    <xf numFmtId="0" fontId="19" fillId="5" borderId="2" xfId="0" applyFont="1" applyFill="1" applyBorder="1" applyAlignment="1">
      <alignment horizontal="left" vertical="center" wrapText="1"/>
    </xf>
    <xf numFmtId="0" fontId="19" fillId="5" borderId="2" xfId="0" applyFont="1" applyFill="1" applyBorder="1" applyAlignment="1">
      <alignment horizontal="left" vertical="top" wrapText="1"/>
    </xf>
    <xf numFmtId="0" fontId="19" fillId="5" borderId="5" xfId="0" applyFont="1" applyFill="1" applyBorder="1" applyAlignment="1">
      <alignment horizontal="center"/>
    </xf>
    <xf numFmtId="0" fontId="19" fillId="5" borderId="0" xfId="17" applyFont="1" applyFill="1" applyAlignment="1">
      <alignment horizontal="left" vertical="top" wrapText="1"/>
    </xf>
    <xf numFmtId="0" fontId="23" fillId="5" borderId="0" xfId="0" applyFont="1" applyFill="1"/>
    <xf numFmtId="0" fontId="19" fillId="5" borderId="1" xfId="17" applyFont="1" applyFill="1" applyBorder="1" applyAlignment="1">
      <alignment vertical="center"/>
    </xf>
    <xf numFmtId="0" fontId="19" fillId="5" borderId="0" xfId="17" applyFont="1" applyFill="1" applyAlignment="1">
      <alignment vertical="center"/>
    </xf>
    <xf numFmtId="0" fontId="23" fillId="5" borderId="0" xfId="17" applyFont="1" applyFill="1" applyAlignment="1">
      <alignment vertical="center"/>
    </xf>
    <xf numFmtId="0" fontId="11" fillId="5" borderId="5" xfId="17" applyFont="1" applyFill="1" applyBorder="1" applyAlignment="1">
      <alignment vertical="center"/>
    </xf>
    <xf numFmtId="0" fontId="11" fillId="5" borderId="4" xfId="17" applyFont="1" applyFill="1" applyBorder="1" applyAlignment="1">
      <alignment vertical="center"/>
    </xf>
    <xf numFmtId="0" fontId="11" fillId="5" borderId="10" xfId="17" applyFont="1" applyFill="1" applyBorder="1" applyAlignment="1">
      <alignment vertical="center"/>
    </xf>
    <xf numFmtId="0" fontId="11" fillId="5" borderId="8" xfId="17" applyFont="1" applyFill="1" applyBorder="1" applyAlignment="1">
      <alignment vertical="center"/>
    </xf>
    <xf numFmtId="0" fontId="7" fillId="5" borderId="0" xfId="17" applyFont="1" applyFill="1" applyAlignment="1">
      <alignment horizontal="left" vertical="center"/>
    </xf>
    <xf numFmtId="0" fontId="7" fillId="5" borderId="0" xfId="17" applyFont="1" applyFill="1"/>
    <xf numFmtId="0" fontId="8" fillId="5" borderId="0" xfId="17" applyFont="1" applyFill="1"/>
    <xf numFmtId="0" fontId="15" fillId="5" borderId="0" xfId="17" applyFont="1" applyFill="1" applyAlignment="1">
      <alignment vertical="center"/>
    </xf>
    <xf numFmtId="0" fontId="8" fillId="5" borderId="0" xfId="17" applyFont="1" applyFill="1" applyAlignment="1">
      <alignment horizontal="left"/>
    </xf>
    <xf numFmtId="0" fontId="23" fillId="5" borderId="0" xfId="17" applyFont="1" applyFill="1" applyAlignment="1">
      <alignment horizontal="left" vertical="center"/>
    </xf>
    <xf numFmtId="0" fontId="12" fillId="5" borderId="0" xfId="17" applyFont="1" applyFill="1" applyAlignment="1">
      <alignment vertical="center"/>
    </xf>
    <xf numFmtId="0" fontId="23" fillId="5" borderId="38" xfId="17" applyFont="1" applyFill="1" applyBorder="1" applyAlignment="1">
      <alignment vertical="top"/>
    </xf>
    <xf numFmtId="167" fontId="23" fillId="5" borderId="38" xfId="17" applyNumberFormat="1" applyFont="1" applyFill="1" applyBorder="1" applyAlignment="1">
      <alignment horizontal="left" vertical="center" wrapText="1"/>
    </xf>
    <xf numFmtId="167" fontId="23" fillId="5" borderId="9" xfId="17" applyNumberFormat="1" applyFont="1" applyFill="1" applyBorder="1" applyAlignment="1">
      <alignment horizontal="left" vertical="top"/>
    </xf>
    <xf numFmtId="0" fontId="20" fillId="5" borderId="22" xfId="0" applyFont="1" applyFill="1" applyBorder="1" applyAlignment="1">
      <alignment vertical="top"/>
    </xf>
    <xf numFmtId="0" fontId="20" fillId="5" borderId="10" xfId="0" applyFont="1" applyFill="1" applyBorder="1" applyAlignment="1">
      <alignment vertical="top"/>
    </xf>
    <xf numFmtId="167" fontId="23" fillId="5" borderId="8" xfId="17" applyNumberFormat="1" applyFont="1" applyFill="1" applyBorder="1" applyAlignment="1">
      <alignment horizontal="left" vertical="top"/>
    </xf>
    <xf numFmtId="167" fontId="23" fillId="5" borderId="22" xfId="17" applyNumberFormat="1" applyFont="1" applyFill="1" applyBorder="1" applyAlignment="1">
      <alignment horizontal="left" vertical="top"/>
    </xf>
    <xf numFmtId="167" fontId="23" fillId="5" borderId="9" xfId="17" applyNumberFormat="1" applyFont="1" applyFill="1" applyBorder="1" applyAlignment="1">
      <alignment horizontal="left" wrapText="1"/>
    </xf>
    <xf numFmtId="0" fontId="19" fillId="7" borderId="2" xfId="17" applyFont="1" applyFill="1" applyBorder="1" applyAlignment="1">
      <alignment vertical="top"/>
    </xf>
    <xf numFmtId="0" fontId="8" fillId="5" borderId="1" xfId="17" applyFont="1" applyFill="1" applyBorder="1" applyAlignment="1">
      <alignment vertical="top" wrapText="1"/>
    </xf>
    <xf numFmtId="0" fontId="8" fillId="5" borderId="0" xfId="17" applyFont="1" applyFill="1" applyAlignment="1">
      <alignment vertical="top" wrapText="1"/>
    </xf>
    <xf numFmtId="0" fontId="8" fillId="5" borderId="2" xfId="17" applyFont="1" applyFill="1" applyBorder="1" applyAlignment="1">
      <alignment vertical="top" wrapText="1"/>
    </xf>
    <xf numFmtId="0" fontId="11" fillId="5" borderId="1" xfId="17" applyFont="1" applyFill="1" applyBorder="1" applyAlignment="1">
      <alignment vertical="center"/>
    </xf>
    <xf numFmtId="0" fontId="19" fillId="5" borderId="3" xfId="0" applyFont="1" applyFill="1" applyBorder="1" applyAlignment="1">
      <alignment wrapText="1"/>
    </xf>
    <xf numFmtId="0" fontId="19" fillId="5" borderId="0" xfId="17" applyFont="1" applyFill="1" applyAlignment="1">
      <alignment vertical="top"/>
    </xf>
    <xf numFmtId="0" fontId="19" fillId="7" borderId="1" xfId="17" applyFont="1" applyFill="1" applyBorder="1" applyAlignment="1">
      <alignment vertical="top"/>
    </xf>
    <xf numFmtId="0" fontId="19" fillId="5" borderId="2" xfId="0" applyFont="1" applyFill="1" applyBorder="1" applyAlignment="1">
      <alignment horizontal="left" vertical="top"/>
    </xf>
    <xf numFmtId="0" fontId="19" fillId="5" borderId="3" xfId="17" applyFont="1" applyFill="1" applyBorder="1" applyAlignment="1">
      <alignment horizontal="center" vertical="top"/>
    </xf>
    <xf numFmtId="0" fontId="19" fillId="5" borderId="1" xfId="17" applyFont="1" applyFill="1" applyBorder="1" applyAlignment="1">
      <alignment vertical="top"/>
    </xf>
    <xf numFmtId="0" fontId="20" fillId="5" borderId="3" xfId="0" applyFont="1" applyFill="1" applyBorder="1" applyAlignment="1">
      <alignment vertical="top" wrapText="1"/>
    </xf>
    <xf numFmtId="0" fontId="20" fillId="5" borderId="4" xfId="17" applyFont="1" applyFill="1" applyBorder="1" applyAlignment="1">
      <alignment horizontal="center"/>
    </xf>
    <xf numFmtId="0" fontId="20" fillId="5" borderId="4" xfId="0" applyFont="1" applyFill="1" applyBorder="1" applyAlignment="1">
      <alignment horizontal="center"/>
    </xf>
    <xf numFmtId="0" fontId="19" fillId="5" borderId="20" xfId="0" applyFont="1" applyFill="1" applyBorder="1" applyAlignment="1">
      <alignment vertical="top" wrapText="1"/>
    </xf>
    <xf numFmtId="0" fontId="11" fillId="5" borderId="3" xfId="17" applyFont="1" applyFill="1" applyBorder="1" applyAlignment="1">
      <alignment vertical="top"/>
    </xf>
    <xf numFmtId="0" fontId="11" fillId="5" borderId="0" xfId="0" applyFont="1" applyFill="1" applyAlignment="1">
      <alignment horizontal="left" vertical="top" wrapText="1"/>
    </xf>
    <xf numFmtId="0" fontId="19" fillId="5" borderId="3" xfId="17" applyFont="1" applyFill="1" applyBorder="1" applyAlignment="1">
      <alignment vertical="top"/>
    </xf>
    <xf numFmtId="0" fontId="20" fillId="5" borderId="3" xfId="0" applyFont="1" applyFill="1" applyBorder="1" applyAlignment="1">
      <alignment vertical="top"/>
    </xf>
    <xf numFmtId="0" fontId="20" fillId="5" borderId="2" xfId="0" applyFont="1" applyFill="1" applyBorder="1" applyAlignment="1">
      <alignment vertical="top"/>
    </xf>
    <xf numFmtId="0" fontId="19" fillId="5" borderId="3" xfId="10" applyFont="1" applyFill="1" applyBorder="1"/>
    <xf numFmtId="0" fontId="20" fillId="5" borderId="3" xfId="0" applyFont="1" applyFill="1" applyBorder="1" applyAlignment="1">
      <alignment horizontal="left" vertical="top"/>
    </xf>
    <xf numFmtId="0" fontId="19" fillId="5" borderId="1" xfId="17" applyFont="1" applyFill="1" applyBorder="1" applyAlignment="1">
      <alignment vertical="top" wrapText="1"/>
    </xf>
    <xf numFmtId="0" fontId="19" fillId="5" borderId="0" xfId="17" applyFont="1" applyFill="1" applyAlignment="1">
      <alignment vertical="top" wrapText="1"/>
    </xf>
    <xf numFmtId="0" fontId="19" fillId="5" borderId="2" xfId="17" applyFont="1" applyFill="1" applyBorder="1" applyAlignment="1">
      <alignment vertical="top" wrapText="1"/>
    </xf>
    <xf numFmtId="0" fontId="23" fillId="5" borderId="3" xfId="0" quotePrefix="1" applyFont="1" applyFill="1" applyBorder="1" applyAlignment="1">
      <alignment vertical="top" wrapText="1"/>
    </xf>
    <xf numFmtId="0" fontId="19" fillId="5" borderId="3" xfId="10" applyFont="1" applyFill="1" applyBorder="1" applyAlignment="1">
      <alignment wrapText="1"/>
    </xf>
    <xf numFmtId="0" fontId="19" fillId="5" borderId="3" xfId="10" applyFont="1" applyFill="1" applyBorder="1" applyAlignment="1">
      <alignment vertical="center" wrapText="1"/>
    </xf>
    <xf numFmtId="0" fontId="10" fillId="5" borderId="2" xfId="0" applyFont="1" applyFill="1" applyBorder="1" applyAlignment="1">
      <alignment vertical="top"/>
    </xf>
    <xf numFmtId="0" fontId="19" fillId="5" borderId="3" xfId="0" quotePrefix="1" applyFont="1" applyFill="1" applyBorder="1" applyAlignment="1">
      <alignment vertical="top" wrapText="1"/>
    </xf>
    <xf numFmtId="0" fontId="19" fillId="5" borderId="3" xfId="17" applyFont="1" applyFill="1" applyBorder="1" applyAlignment="1">
      <alignment horizontal="left" vertical="top"/>
    </xf>
    <xf numFmtId="0" fontId="10" fillId="5" borderId="3" xfId="0" applyFont="1" applyFill="1" applyBorder="1" applyAlignment="1">
      <alignment vertical="top"/>
    </xf>
    <xf numFmtId="0" fontId="2" fillId="5" borderId="0" xfId="17" applyFill="1"/>
    <xf numFmtId="0" fontId="19" fillId="5" borderId="2" xfId="17" applyFont="1" applyFill="1" applyBorder="1" applyAlignment="1">
      <alignment vertical="top"/>
    </xf>
    <xf numFmtId="0" fontId="11" fillId="5" borderId="1" xfId="17" applyFont="1" applyFill="1" applyBorder="1" applyAlignment="1">
      <alignment vertical="top"/>
    </xf>
    <xf numFmtId="49" fontId="23" fillId="5" borderId="2" xfId="17" applyNumberFormat="1" applyFont="1" applyFill="1" applyBorder="1" applyAlignment="1">
      <alignment horizontal="center" vertical="top"/>
    </xf>
    <xf numFmtId="0" fontId="23" fillId="5" borderId="3" xfId="17" applyFont="1" applyFill="1" applyBorder="1" applyAlignment="1">
      <alignment horizontal="center" vertical="top"/>
    </xf>
    <xf numFmtId="0" fontId="19" fillId="5" borderId="2" xfId="0" applyFont="1" applyFill="1" applyBorder="1" applyAlignment="1">
      <alignment vertical="top"/>
    </xf>
    <xf numFmtId="167" fontId="19" fillId="5" borderId="3" xfId="17" applyNumberFormat="1" applyFont="1" applyFill="1" applyBorder="1" applyAlignment="1">
      <alignment horizontal="left" vertical="top"/>
    </xf>
    <xf numFmtId="167" fontId="19" fillId="5" borderId="2" xfId="17" applyNumberFormat="1" applyFont="1" applyFill="1" applyBorder="1" applyAlignment="1">
      <alignment horizontal="center" vertical="top"/>
    </xf>
    <xf numFmtId="0" fontId="19" fillId="5" borderId="3" xfId="10" applyFont="1" applyFill="1" applyBorder="1" applyAlignment="1">
      <alignment vertical="top" wrapText="1"/>
    </xf>
    <xf numFmtId="0" fontId="19" fillId="5" borderId="0" xfId="0" applyFont="1" applyFill="1" applyAlignment="1">
      <alignment vertical="top"/>
    </xf>
    <xf numFmtId="0" fontId="8" fillId="5" borderId="1" xfId="0" applyFont="1" applyFill="1" applyBorder="1"/>
    <xf numFmtId="0" fontId="23" fillId="5" borderId="3" xfId="0" applyFont="1" applyFill="1" applyBorder="1" applyAlignment="1">
      <alignment horizontal="left" vertical="top" wrapText="1"/>
    </xf>
    <xf numFmtId="0" fontId="23" fillId="5" borderId="3" xfId="17" applyFont="1" applyFill="1" applyBorder="1" applyAlignment="1">
      <alignment vertical="center" wrapText="1"/>
    </xf>
    <xf numFmtId="0" fontId="19" fillId="5" borderId="3" xfId="0" applyFont="1" applyFill="1" applyBorder="1" applyAlignment="1">
      <alignment horizontal="center" vertical="top"/>
    </xf>
    <xf numFmtId="0" fontId="19" fillId="5" borderId="1" xfId="0" applyFont="1" applyFill="1" applyBorder="1" applyAlignment="1">
      <alignment horizontal="center" vertical="top"/>
    </xf>
    <xf numFmtId="0" fontId="19" fillId="5" borderId="20" xfId="0" applyFont="1" applyFill="1" applyBorder="1" applyAlignment="1">
      <alignment horizontal="left" vertical="top" wrapText="1"/>
    </xf>
    <xf numFmtId="0" fontId="23" fillId="5" borderId="1" xfId="17" applyFont="1" applyFill="1" applyBorder="1" applyAlignment="1">
      <alignment vertical="top" wrapText="1"/>
    </xf>
    <xf numFmtId="0" fontId="19" fillId="5" borderId="1" xfId="17" applyFont="1" applyFill="1" applyBorder="1" applyAlignment="1">
      <alignment horizontal="center" vertical="top"/>
    </xf>
    <xf numFmtId="0" fontId="19" fillId="5" borderId="0" xfId="17" applyFont="1" applyFill="1" applyAlignment="1">
      <alignment horizontal="center" vertical="top"/>
    </xf>
    <xf numFmtId="0" fontId="19" fillId="5" borderId="2" xfId="17" applyFont="1" applyFill="1" applyBorder="1" applyAlignment="1">
      <alignment horizontal="center" vertical="top"/>
    </xf>
    <xf numFmtId="0" fontId="19" fillId="5" borderId="3" xfId="0" applyFont="1" applyFill="1" applyBorder="1" applyAlignment="1">
      <alignment horizontal="left" vertical="top"/>
    </xf>
    <xf numFmtId="0" fontId="8" fillId="5" borderId="1" xfId="17" applyFont="1" applyFill="1" applyBorder="1"/>
    <xf numFmtId="0" fontId="23" fillId="5" borderId="20" xfId="17" applyFont="1" applyFill="1" applyBorder="1" applyAlignment="1">
      <alignment vertical="center" wrapText="1"/>
    </xf>
    <xf numFmtId="0" fontId="19" fillId="5" borderId="23" xfId="17" applyFont="1" applyFill="1" applyBorder="1" applyAlignment="1">
      <alignment horizontal="center" vertical="top"/>
    </xf>
    <xf numFmtId="0" fontId="19" fillId="5" borderId="24" xfId="17" applyFont="1" applyFill="1" applyBorder="1" applyAlignment="1">
      <alignment horizontal="center" vertical="top"/>
    </xf>
    <xf numFmtId="0" fontId="19" fillId="5" borderId="12" xfId="17" applyFont="1" applyFill="1" applyBorder="1" applyAlignment="1">
      <alignment horizontal="center" vertical="top"/>
    </xf>
    <xf numFmtId="0" fontId="20" fillId="5" borderId="3" xfId="0" applyFont="1" applyFill="1" applyBorder="1" applyAlignment="1">
      <alignment horizontal="center" vertical="top" wrapText="1"/>
    </xf>
    <xf numFmtId="0" fontId="23" fillId="5" borderId="20" xfId="17" applyFont="1" applyFill="1" applyBorder="1" applyAlignment="1">
      <alignment wrapText="1"/>
    </xf>
    <xf numFmtId="0" fontId="19" fillId="5" borderId="0" xfId="0" applyFont="1" applyFill="1" applyAlignment="1">
      <alignment vertical="top" wrapText="1"/>
    </xf>
    <xf numFmtId="0" fontId="19" fillId="5" borderId="4" xfId="17" applyFont="1" applyFill="1" applyBorder="1" applyAlignment="1">
      <alignment horizontal="center" vertical="top"/>
    </xf>
    <xf numFmtId="0" fontId="23" fillId="5" borderId="6" xfId="17" applyFont="1" applyFill="1" applyBorder="1" applyAlignment="1">
      <alignment vertical="center" wrapText="1"/>
    </xf>
    <xf numFmtId="0" fontId="19" fillId="5" borderId="6" xfId="0" applyFont="1" applyFill="1" applyBorder="1" applyAlignment="1">
      <alignment horizontal="left" vertical="top"/>
    </xf>
    <xf numFmtId="0" fontId="19" fillId="5" borderId="23" xfId="0" applyFont="1" applyFill="1" applyBorder="1" applyAlignment="1">
      <alignment horizontal="left" vertical="top"/>
    </xf>
    <xf numFmtId="0" fontId="19" fillId="7" borderId="23" xfId="17" applyFont="1" applyFill="1" applyBorder="1" applyAlignment="1">
      <alignment vertical="top"/>
    </xf>
    <xf numFmtId="0" fontId="23" fillId="5" borderId="23" xfId="17" applyFont="1" applyFill="1" applyBorder="1" applyAlignment="1">
      <alignment vertical="top" wrapText="1"/>
    </xf>
    <xf numFmtId="0" fontId="19" fillId="5" borderId="6" xfId="0" applyFont="1" applyFill="1" applyBorder="1"/>
    <xf numFmtId="0" fontId="19" fillId="5" borderId="6" xfId="17" applyFont="1" applyFill="1" applyBorder="1" applyAlignment="1">
      <alignment horizontal="left" vertical="top" wrapText="1"/>
    </xf>
    <xf numFmtId="0" fontId="19" fillId="5" borderId="6" xfId="17" applyFont="1" applyFill="1" applyBorder="1"/>
    <xf numFmtId="0" fontId="20" fillId="5" borderId="6" xfId="0" applyFont="1" applyFill="1" applyBorder="1" applyAlignment="1">
      <alignment vertical="top"/>
    </xf>
    <xf numFmtId="0" fontId="23" fillId="5" borderId="10" xfId="17" applyFont="1" applyFill="1" applyBorder="1" applyAlignment="1">
      <alignment horizontal="center" vertical="top"/>
    </xf>
    <xf numFmtId="0" fontId="23" fillId="7" borderId="10" xfId="17" applyFont="1" applyFill="1" applyBorder="1" applyAlignment="1">
      <alignment horizontal="center" vertical="top"/>
    </xf>
    <xf numFmtId="0" fontId="23" fillId="5" borderId="9" xfId="17" applyFont="1" applyFill="1" applyBorder="1" applyAlignment="1">
      <alignment horizontal="center" vertical="top"/>
    </xf>
    <xf numFmtId="0" fontId="23" fillId="5" borderId="8" xfId="17" applyFont="1" applyFill="1" applyBorder="1" applyAlignment="1">
      <alignment horizontal="center" vertical="top"/>
    </xf>
    <xf numFmtId="0" fontId="23" fillId="5" borderId="18" xfId="17" applyFont="1" applyFill="1" applyBorder="1" applyAlignment="1">
      <alignment horizontal="center" vertical="top" wrapText="1"/>
    </xf>
    <xf numFmtId="0" fontId="23" fillId="5" borderId="22" xfId="17" applyFont="1" applyFill="1" applyBorder="1" applyAlignment="1">
      <alignment horizontal="center" vertical="top" wrapText="1"/>
    </xf>
    <xf numFmtId="0" fontId="23" fillId="7" borderId="8" xfId="17" applyFont="1" applyFill="1" applyBorder="1" applyAlignment="1">
      <alignment horizontal="center" vertical="top"/>
    </xf>
    <xf numFmtId="0" fontId="10" fillId="5" borderId="9" xfId="0" applyFont="1" applyFill="1" applyBorder="1" applyAlignment="1">
      <alignment horizontal="center" vertical="top"/>
    </xf>
    <xf numFmtId="0" fontId="10" fillId="5" borderId="8" xfId="0" applyFont="1" applyFill="1" applyBorder="1" applyAlignment="1">
      <alignment horizontal="center" vertical="top"/>
    </xf>
    <xf numFmtId="0" fontId="23" fillId="5" borderId="18" xfId="17" applyFont="1" applyFill="1" applyBorder="1" applyAlignment="1">
      <alignment horizontal="center"/>
    </xf>
    <xf numFmtId="0" fontId="23" fillId="5" borderId="8" xfId="17" applyFont="1" applyFill="1" applyBorder="1" applyAlignment="1">
      <alignment horizontal="center"/>
    </xf>
    <xf numFmtId="0" fontId="23" fillId="5" borderId="18" xfId="17" applyFont="1" applyFill="1" applyBorder="1" applyAlignment="1">
      <alignment horizontal="center" vertical="top"/>
    </xf>
    <xf numFmtId="166" fontId="23" fillId="5" borderId="13" xfId="15" applyNumberFormat="1" applyFont="1" applyFill="1" applyBorder="1" applyAlignment="1">
      <alignment horizontal="center" vertical="center"/>
    </xf>
    <xf numFmtId="0" fontId="11" fillId="5" borderId="11" xfId="17" quotePrefix="1" applyFont="1" applyFill="1" applyBorder="1" applyAlignment="1">
      <alignment horizontal="center" vertical="center"/>
    </xf>
    <xf numFmtId="166" fontId="23" fillId="5" borderId="40" xfId="15" applyNumberFormat="1" applyFont="1" applyFill="1" applyBorder="1" applyAlignment="1">
      <alignment horizontal="center" vertical="center"/>
    </xf>
    <xf numFmtId="0" fontId="11" fillId="7" borderId="11" xfId="17" applyFont="1" applyFill="1" applyBorder="1" applyAlignment="1">
      <alignment vertical="center"/>
    </xf>
    <xf numFmtId="0" fontId="11" fillId="7" borderId="7" xfId="17" applyFont="1" applyFill="1" applyBorder="1" applyAlignment="1">
      <alignment vertical="center"/>
    </xf>
    <xf numFmtId="0" fontId="11" fillId="5" borderId="7" xfId="17" applyFont="1" applyFill="1" applyBorder="1" applyAlignment="1">
      <alignment vertical="center"/>
    </xf>
    <xf numFmtId="0" fontId="11" fillId="5" borderId="7" xfId="17" quotePrefix="1" applyFont="1" applyFill="1" applyBorder="1" applyAlignment="1">
      <alignment horizontal="center" vertical="center"/>
    </xf>
    <xf numFmtId="0" fontId="11" fillId="5" borderId="39" xfId="17" applyFont="1" applyFill="1" applyBorder="1" applyAlignment="1">
      <alignment vertical="center"/>
    </xf>
    <xf numFmtId="0" fontId="11" fillId="5" borderId="11" xfId="17" applyFont="1" applyFill="1" applyBorder="1" applyAlignment="1">
      <alignment vertical="center"/>
    </xf>
    <xf numFmtId="0" fontId="11" fillId="5" borderId="6" xfId="17" applyFont="1" applyFill="1" applyBorder="1" applyAlignment="1">
      <alignment horizontal="left" vertical="center"/>
    </xf>
    <xf numFmtId="166" fontId="23" fillId="5" borderId="14" xfId="15" applyNumberFormat="1" applyFont="1" applyFill="1" applyBorder="1" applyAlignment="1">
      <alignment horizontal="center" vertical="center"/>
    </xf>
    <xf numFmtId="0" fontId="11" fillId="5" borderId="12" xfId="17" quotePrefix="1" applyFont="1" applyFill="1" applyBorder="1" applyAlignment="1">
      <alignment horizontal="center" vertical="center"/>
    </xf>
    <xf numFmtId="166" fontId="23" fillId="5" borderId="21" xfId="15" applyNumberFormat="1" applyFont="1" applyFill="1" applyBorder="1" applyAlignment="1">
      <alignment horizontal="center" vertical="center"/>
    </xf>
    <xf numFmtId="0" fontId="11" fillId="7" borderId="6" xfId="17" applyFont="1" applyFill="1" applyBorder="1" applyAlignment="1">
      <alignment vertical="center"/>
    </xf>
    <xf numFmtId="0" fontId="11" fillId="5" borderId="6" xfId="17" applyFont="1" applyFill="1" applyBorder="1" applyAlignment="1">
      <alignment vertical="center"/>
    </xf>
    <xf numFmtId="0" fontId="2" fillId="5" borderId="6" xfId="17" applyFill="1" applyBorder="1"/>
    <xf numFmtId="0" fontId="11" fillId="5" borderId="12" xfId="17" applyFont="1" applyFill="1" applyBorder="1" applyAlignment="1">
      <alignment vertical="center"/>
    </xf>
    <xf numFmtId="0" fontId="11" fillId="5" borderId="23" xfId="17" applyFont="1" applyFill="1" applyBorder="1" applyAlignment="1">
      <alignment vertical="center"/>
    </xf>
    <xf numFmtId="166" fontId="23" fillId="5" borderId="15" xfId="15" applyNumberFormat="1" applyFont="1" applyFill="1" applyBorder="1" applyAlignment="1">
      <alignment horizontal="center" vertical="center"/>
    </xf>
    <xf numFmtId="0" fontId="11" fillId="5" borderId="5" xfId="17" quotePrefix="1" applyFont="1" applyFill="1" applyBorder="1" applyAlignment="1">
      <alignment horizontal="center" vertical="center"/>
    </xf>
    <xf numFmtId="166" fontId="23" fillId="5" borderId="41" xfId="15" applyNumberFormat="1" applyFont="1" applyFill="1" applyBorder="1" applyAlignment="1">
      <alignment horizontal="center" vertical="center"/>
    </xf>
    <xf numFmtId="0" fontId="11" fillId="7" borderId="5" xfId="17" applyFont="1" applyFill="1" applyBorder="1" applyAlignment="1">
      <alignment vertical="center"/>
    </xf>
    <xf numFmtId="0" fontId="11" fillId="7" borderId="4" xfId="17" applyFont="1" applyFill="1" applyBorder="1" applyAlignment="1">
      <alignment vertical="center"/>
    </xf>
    <xf numFmtId="0" fontId="2" fillId="5" borderId="4" xfId="17" applyFill="1" applyBorder="1"/>
    <xf numFmtId="0" fontId="11" fillId="5" borderId="4" xfId="17" applyFont="1" applyFill="1" applyBorder="1" applyAlignment="1">
      <alignment horizontal="left" vertical="center"/>
    </xf>
    <xf numFmtId="0" fontId="11" fillId="5" borderId="37" xfId="17" applyFont="1" applyFill="1" applyBorder="1" applyAlignment="1">
      <alignment vertical="center"/>
    </xf>
    <xf numFmtId="166" fontId="23" fillId="5" borderId="16" xfId="15" applyNumberFormat="1" applyFont="1" applyFill="1" applyBorder="1" applyAlignment="1">
      <alignment horizontal="center" vertical="center"/>
    </xf>
    <xf numFmtId="0" fontId="11" fillId="5" borderId="10" xfId="17" quotePrefix="1" applyFont="1" applyFill="1" applyBorder="1" applyAlignment="1">
      <alignment horizontal="center" vertical="center"/>
    </xf>
    <xf numFmtId="166" fontId="23" fillId="5" borderId="38" xfId="15" applyNumberFormat="1" applyFont="1" applyFill="1" applyBorder="1" applyAlignment="1">
      <alignment horizontal="center" vertical="center"/>
    </xf>
    <xf numFmtId="0" fontId="11" fillId="7" borderId="8" xfId="17" applyFont="1" applyFill="1" applyBorder="1" applyAlignment="1">
      <alignment vertical="center"/>
    </xf>
    <xf numFmtId="0" fontId="2" fillId="5" borderId="8" xfId="17" applyFill="1" applyBorder="1"/>
    <xf numFmtId="0" fontId="11" fillId="5" borderId="8" xfId="17" applyFont="1" applyFill="1" applyBorder="1" applyAlignment="1">
      <alignment horizontal="left" vertical="center"/>
    </xf>
    <xf numFmtId="0" fontId="11" fillId="5" borderId="9" xfId="17" applyFont="1" applyFill="1" applyBorder="1" applyAlignment="1">
      <alignment vertical="center"/>
    </xf>
    <xf numFmtId="0" fontId="11" fillId="5" borderId="11" xfId="17" applyFont="1" applyFill="1" applyBorder="1" applyAlignment="1">
      <alignment horizontal="center" vertical="center"/>
    </xf>
    <xf numFmtId="0" fontId="2" fillId="5" borderId="7" xfId="17" applyFill="1" applyBorder="1"/>
    <xf numFmtId="0" fontId="11" fillId="5" borderId="7" xfId="17" applyFont="1" applyFill="1" applyBorder="1" applyAlignment="1">
      <alignment horizontal="left" vertical="center"/>
    </xf>
    <xf numFmtId="0" fontId="11" fillId="5" borderId="5" xfId="17" applyFont="1" applyFill="1" applyBorder="1" applyAlignment="1">
      <alignment horizontal="center" vertical="center"/>
    </xf>
    <xf numFmtId="0" fontId="8" fillId="5" borderId="10" xfId="17" applyFont="1" applyFill="1" applyBorder="1" applyAlignment="1">
      <alignment vertical="center"/>
    </xf>
    <xf numFmtId="0" fontId="19" fillId="5" borderId="0" xfId="17" applyFont="1" applyFill="1"/>
    <xf numFmtId="0" fontId="2" fillId="5" borderId="22" xfId="17" applyFill="1" applyBorder="1"/>
    <xf numFmtId="0" fontId="1" fillId="5" borderId="0" xfId="0" applyFont="1" applyFill="1"/>
    <xf numFmtId="0" fontId="19" fillId="5" borderId="0" xfId="17" applyFont="1" applyFill="1" applyAlignment="1">
      <alignment horizontal="left" vertical="center" wrapText="1"/>
    </xf>
    <xf numFmtId="0" fontId="11" fillId="5" borderId="0" xfId="17" applyFont="1" applyFill="1"/>
    <xf numFmtId="0" fontId="11" fillId="5" borderId="0" xfId="17" applyFont="1" applyFill="1" applyAlignment="1">
      <alignment horizontal="left" vertical="top" wrapText="1"/>
    </xf>
    <xf numFmtId="0" fontId="1" fillId="5" borderId="3" xfId="0" applyFont="1" applyFill="1" applyBorder="1"/>
    <xf numFmtId="0" fontId="1" fillId="5" borderId="1" xfId="0" applyFont="1" applyFill="1" applyBorder="1"/>
    <xf numFmtId="0" fontId="1" fillId="5" borderId="23" xfId="0" applyFont="1" applyFill="1" applyBorder="1"/>
    <xf numFmtId="0" fontId="1" fillId="5" borderId="6" xfId="0" applyFont="1" applyFill="1" applyBorder="1"/>
    <xf numFmtId="0" fontId="7" fillId="5" borderId="0" xfId="17" applyFont="1" applyFill="1" applyAlignment="1">
      <alignment vertical="center"/>
    </xf>
    <xf numFmtId="0" fontId="7" fillId="5" borderId="0" xfId="17" applyFont="1" applyFill="1" applyAlignment="1">
      <alignment horizontal="center" vertical="center" wrapText="1"/>
    </xf>
    <xf numFmtId="0" fontId="8" fillId="5" borderId="0" xfId="17" applyFont="1" applyFill="1" applyAlignment="1">
      <alignment wrapText="1"/>
    </xf>
    <xf numFmtId="0" fontId="7" fillId="5" borderId="0" xfId="17" applyFont="1" applyFill="1" applyAlignment="1">
      <alignment vertical="center" wrapText="1"/>
    </xf>
    <xf numFmtId="0" fontId="12" fillId="5" borderId="0" xfId="17" applyFont="1" applyFill="1" applyAlignment="1">
      <alignment horizontal="left" vertical="center"/>
    </xf>
    <xf numFmtId="0" fontId="12" fillId="5" borderId="0" xfId="17" applyFont="1" applyFill="1" applyAlignment="1">
      <alignment horizontal="center" vertical="center" wrapText="1"/>
    </xf>
    <xf numFmtId="0" fontId="15" fillId="5" borderId="0" xfId="17" applyFont="1" applyFill="1" applyAlignment="1">
      <alignment wrapText="1"/>
    </xf>
    <xf numFmtId="0" fontId="2" fillId="5" borderId="0" xfId="0" applyFont="1" applyFill="1" applyAlignment="1">
      <alignment wrapText="1"/>
    </xf>
    <xf numFmtId="0" fontId="2" fillId="5" borderId="0" xfId="0" applyFont="1" applyFill="1" applyAlignment="1">
      <alignment horizontal="left"/>
    </xf>
    <xf numFmtId="0" fontId="1" fillId="5" borderId="24" xfId="0" applyFont="1" applyFill="1" applyBorder="1" applyAlignment="1">
      <alignment wrapText="1"/>
    </xf>
    <xf numFmtId="167" fontId="23" fillId="5" borderId="22" xfId="17" applyNumberFormat="1" applyFont="1" applyFill="1" applyBorder="1" applyAlignment="1">
      <alignment wrapText="1"/>
    </xf>
    <xf numFmtId="167" fontId="23" fillId="5" borderId="9" xfId="17" applyNumberFormat="1" applyFont="1" applyFill="1" applyBorder="1" applyAlignment="1">
      <alignment horizontal="center" wrapText="1"/>
    </xf>
    <xf numFmtId="167" fontId="23" fillId="5" borderId="10" xfId="17" applyNumberFormat="1" applyFont="1" applyFill="1" applyBorder="1" applyAlignment="1">
      <alignment wrapText="1"/>
    </xf>
    <xf numFmtId="167" fontId="23" fillId="5" borderId="22" xfId="17" applyNumberFormat="1" applyFont="1" applyFill="1" applyBorder="1" applyAlignment="1">
      <alignment horizontal="center" wrapText="1"/>
    </xf>
    <xf numFmtId="167" fontId="23" fillId="5" borderId="9" xfId="17" applyNumberFormat="1" applyFont="1" applyFill="1" applyBorder="1" applyAlignment="1">
      <alignment wrapText="1"/>
    </xf>
    <xf numFmtId="167" fontId="23" fillId="5" borderId="8" xfId="17" applyNumberFormat="1" applyFont="1" applyFill="1" applyBorder="1" applyAlignment="1">
      <alignment horizontal="left"/>
    </xf>
    <xf numFmtId="167" fontId="23" fillId="5" borderId="22" xfId="17" applyNumberFormat="1" applyFont="1" applyFill="1" applyBorder="1" applyAlignment="1">
      <alignment horizontal="left"/>
    </xf>
    <xf numFmtId="0" fontId="20" fillId="5" borderId="22" xfId="0" applyFont="1" applyFill="1" applyBorder="1" applyAlignment="1">
      <alignment wrapText="1"/>
    </xf>
    <xf numFmtId="0" fontId="1" fillId="5" borderId="22" xfId="0" applyFont="1" applyFill="1" applyBorder="1"/>
    <xf numFmtId="0" fontId="1" fillId="5" borderId="10" xfId="0" applyFont="1" applyFill="1" applyBorder="1"/>
    <xf numFmtId="0" fontId="20" fillId="5" borderId="10" xfId="0" applyFont="1" applyFill="1" applyBorder="1" applyAlignment="1">
      <alignment wrapText="1"/>
    </xf>
    <xf numFmtId="167" fontId="23" fillId="5" borderId="9" xfId="17" applyNumberFormat="1" applyFont="1" applyFill="1" applyBorder="1" applyAlignment="1">
      <alignment horizontal="left" vertical="top" wrapText="1"/>
    </xf>
    <xf numFmtId="167" fontId="23" fillId="5" borderId="22" xfId="17" applyNumberFormat="1" applyFont="1" applyFill="1" applyBorder="1" applyAlignment="1">
      <alignment horizontal="left" vertical="top" wrapText="1"/>
    </xf>
    <xf numFmtId="0" fontId="19" fillId="5" borderId="1" xfId="0" applyFont="1" applyFill="1" applyBorder="1" applyAlignment="1">
      <alignment wrapText="1"/>
    </xf>
    <xf numFmtId="0" fontId="19" fillId="5" borderId="1" xfId="17" applyFont="1" applyFill="1" applyBorder="1"/>
    <xf numFmtId="0" fontId="19" fillId="5" borderId="1" xfId="17" applyFont="1" applyFill="1" applyBorder="1" applyAlignment="1">
      <alignment wrapText="1"/>
    </xf>
    <xf numFmtId="0" fontId="19" fillId="5" borderId="0" xfId="0" quotePrefix="1" applyFont="1" applyFill="1" applyAlignment="1">
      <alignment vertical="top" wrapText="1"/>
    </xf>
    <xf numFmtId="0" fontId="19" fillId="5" borderId="2" xfId="0" quotePrefix="1" applyFont="1" applyFill="1" applyBorder="1" applyAlignment="1">
      <alignment vertical="top" wrapText="1"/>
    </xf>
    <xf numFmtId="0" fontId="19" fillId="5" borderId="3" xfId="0" applyFont="1" applyFill="1" applyBorder="1" applyAlignment="1">
      <alignment horizontal="left" vertical="center" wrapText="1"/>
    </xf>
    <xf numFmtId="0" fontId="20" fillId="5" borderId="1" xfId="0" applyFont="1" applyFill="1" applyBorder="1" applyAlignment="1">
      <alignment vertical="top" wrapText="1"/>
    </xf>
    <xf numFmtId="0" fontId="20" fillId="5" borderId="0" xfId="0" applyFont="1" applyFill="1" applyAlignment="1">
      <alignment vertical="top" wrapText="1"/>
    </xf>
    <xf numFmtId="0" fontId="19" fillId="5" borderId="3" xfId="17" applyFont="1" applyFill="1" applyBorder="1" applyAlignment="1">
      <alignment vertical="center" wrapText="1"/>
    </xf>
    <xf numFmtId="0" fontId="19" fillId="5" borderId="0" xfId="0" applyFont="1" applyFill="1" applyAlignment="1">
      <alignment wrapText="1"/>
    </xf>
    <xf numFmtId="0" fontId="19" fillId="5" borderId="3" xfId="0" applyFont="1" applyFill="1" applyBorder="1" applyAlignment="1">
      <alignment horizontal="center" textRotation="90" wrapText="1"/>
    </xf>
    <xf numFmtId="0" fontId="19" fillId="5" borderId="3" xfId="17" applyFont="1" applyFill="1" applyBorder="1" applyAlignment="1">
      <alignment horizontal="left" vertical="center" wrapText="1"/>
    </xf>
    <xf numFmtId="0" fontId="19" fillId="5" borderId="0" xfId="17" applyFont="1" applyFill="1" applyAlignment="1">
      <alignment wrapText="1"/>
    </xf>
    <xf numFmtId="0" fontId="19" fillId="5" borderId="4" xfId="17" applyFont="1" applyFill="1" applyBorder="1" applyAlignment="1">
      <alignment horizontal="center" vertical="center"/>
    </xf>
    <xf numFmtId="0" fontId="19" fillId="5" borderId="4" xfId="0" quotePrefix="1" applyFont="1" applyFill="1" applyBorder="1" applyAlignment="1">
      <alignment horizontal="center" vertical="center" wrapText="1"/>
    </xf>
    <xf numFmtId="0" fontId="19" fillId="5" borderId="3" xfId="17" applyFont="1" applyFill="1" applyBorder="1" applyAlignment="1">
      <alignment vertical="distributed" wrapText="1"/>
    </xf>
    <xf numFmtId="0" fontId="19" fillId="5" borderId="3" xfId="17" applyFont="1" applyFill="1" applyBorder="1" applyAlignment="1">
      <alignment wrapText="1"/>
    </xf>
    <xf numFmtId="0" fontId="23" fillId="5" borderId="3" xfId="0" applyFont="1" applyFill="1" applyBorder="1" applyAlignment="1">
      <alignment horizontal="center" vertical="center" wrapText="1"/>
    </xf>
    <xf numFmtId="0" fontId="19" fillId="5" borderId="3" xfId="0" quotePrefix="1" applyFont="1" applyFill="1" applyBorder="1" applyAlignment="1">
      <alignment horizontal="left" vertical="center" wrapText="1"/>
    </xf>
    <xf numFmtId="0" fontId="19" fillId="5" borderId="3" xfId="17" applyFont="1" applyFill="1" applyBorder="1" applyAlignment="1">
      <alignment horizontal="left"/>
    </xf>
    <xf numFmtId="0" fontId="23" fillId="5" borderId="3" xfId="17" applyFont="1" applyFill="1" applyBorder="1" applyAlignment="1">
      <alignment vertical="top" wrapText="1"/>
    </xf>
    <xf numFmtId="0" fontId="20" fillId="5" borderId="3" xfId="0" applyFont="1" applyFill="1" applyBorder="1" applyAlignment="1">
      <alignment vertical="center" wrapText="1"/>
    </xf>
    <xf numFmtId="0" fontId="1" fillId="5" borderId="3" xfId="0" applyFont="1" applyFill="1" applyBorder="1" applyAlignment="1">
      <alignment wrapText="1"/>
    </xf>
    <xf numFmtId="0" fontId="1" fillId="5" borderId="3" xfId="0" applyFont="1" applyFill="1" applyBorder="1" applyAlignment="1">
      <alignment vertical="top" wrapText="1"/>
    </xf>
    <xf numFmtId="0" fontId="19" fillId="5" borderId="0" xfId="0" applyFont="1" applyFill="1" applyAlignment="1">
      <alignment horizontal="center" wrapText="1"/>
    </xf>
    <xf numFmtId="0" fontId="20" fillId="5" borderId="1" xfId="0" applyFont="1" applyFill="1" applyBorder="1" applyAlignment="1">
      <alignment vertical="center" wrapText="1"/>
    </xf>
    <xf numFmtId="0" fontId="19" fillId="5" borderId="0" xfId="0" applyFont="1" applyFill="1" applyAlignment="1">
      <alignment vertical="center" wrapText="1"/>
    </xf>
    <xf numFmtId="0" fontId="19" fillId="5" borderId="1" xfId="17" applyFont="1" applyFill="1" applyBorder="1" applyAlignment="1">
      <alignment horizontal="left" vertical="top"/>
    </xf>
    <xf numFmtId="0" fontId="19" fillId="5" borderId="1" xfId="0" applyFont="1" applyFill="1" applyBorder="1" applyAlignment="1">
      <alignment vertical="center" wrapText="1"/>
    </xf>
    <xf numFmtId="0" fontId="23" fillId="5" borderId="2" xfId="17" applyFont="1" applyFill="1" applyBorder="1" applyAlignment="1">
      <alignment horizontal="left" wrapText="1"/>
    </xf>
    <xf numFmtId="0" fontId="23" fillId="5" borderId="3" xfId="17" applyFont="1" applyFill="1" applyBorder="1" applyAlignment="1">
      <alignment horizontal="center" vertical="center" wrapText="1"/>
    </xf>
    <xf numFmtId="0" fontId="19" fillId="5" borderId="2" xfId="17" applyFont="1" applyFill="1" applyBorder="1" applyAlignment="1">
      <alignment horizontal="left" wrapText="1"/>
    </xf>
    <xf numFmtId="0" fontId="19" fillId="5" borderId="2" xfId="17" applyFont="1" applyFill="1" applyBorder="1" applyAlignment="1">
      <alignment vertical="center" wrapText="1"/>
    </xf>
    <xf numFmtId="0" fontId="23" fillId="5" borderId="3" xfId="17" applyFont="1" applyFill="1" applyBorder="1" applyAlignment="1">
      <alignment horizontal="center" wrapText="1"/>
    </xf>
    <xf numFmtId="0" fontId="19" fillId="5" borderId="0" xfId="17" applyFont="1" applyFill="1" applyAlignment="1">
      <alignment horizontal="left" wrapText="1"/>
    </xf>
    <xf numFmtId="0" fontId="11" fillId="5" borderId="23" xfId="17" applyFont="1" applyFill="1" applyBorder="1" applyAlignment="1">
      <alignment wrapText="1"/>
    </xf>
    <xf numFmtId="0" fontId="1" fillId="5" borderId="12" xfId="0" applyFont="1" applyFill="1" applyBorder="1" applyAlignment="1">
      <alignment wrapText="1"/>
    </xf>
    <xf numFmtId="0" fontId="1" fillId="5" borderId="6" xfId="0" applyFont="1" applyFill="1" applyBorder="1" applyAlignment="1">
      <alignment wrapText="1"/>
    </xf>
    <xf numFmtId="0" fontId="19" fillId="5" borderId="12" xfId="17" applyFont="1" applyFill="1" applyBorder="1" applyAlignment="1">
      <alignment horizontal="left" wrapText="1"/>
    </xf>
    <xf numFmtId="0" fontId="19" fillId="5" borderId="12" xfId="17" applyFont="1" applyFill="1" applyBorder="1" applyAlignment="1">
      <alignment vertical="center" wrapText="1"/>
    </xf>
    <xf numFmtId="0" fontId="19" fillId="5" borderId="6" xfId="0" applyFont="1" applyFill="1" applyBorder="1" applyAlignment="1">
      <alignment vertical="top" wrapText="1"/>
    </xf>
    <xf numFmtId="0" fontId="19" fillId="5" borderId="23" xfId="17" applyFont="1" applyFill="1" applyBorder="1"/>
    <xf numFmtId="0" fontId="19" fillId="5" borderId="6" xfId="17" applyFont="1" applyFill="1" applyBorder="1" applyAlignment="1">
      <alignment wrapText="1"/>
    </xf>
    <xf numFmtId="0" fontId="23" fillId="5" borderId="6" xfId="17" applyFont="1" applyFill="1" applyBorder="1" applyAlignment="1">
      <alignment horizontal="center" wrapText="1"/>
    </xf>
    <xf numFmtId="0" fontId="1" fillId="5" borderId="6" xfId="0" applyFont="1" applyFill="1" applyBorder="1" applyAlignment="1">
      <alignment horizontal="left" vertical="top" wrapText="1"/>
    </xf>
    <xf numFmtId="0" fontId="23" fillId="5" borderId="20" xfId="17" applyFont="1" applyFill="1" applyBorder="1" applyAlignment="1">
      <alignment horizontal="center" vertical="center" textRotation="90" wrapText="1"/>
    </xf>
    <xf numFmtId="0" fontId="11" fillId="5" borderId="1" xfId="17" applyFont="1" applyFill="1" applyBorder="1" applyAlignment="1">
      <alignment wrapText="1"/>
    </xf>
    <xf numFmtId="0" fontId="1" fillId="5" borderId="0" xfId="0" applyFont="1" applyFill="1" applyAlignment="1">
      <alignment wrapText="1"/>
    </xf>
    <xf numFmtId="0" fontId="1" fillId="5" borderId="2" xfId="0" applyFont="1" applyFill="1" applyBorder="1" applyAlignment="1">
      <alignment wrapText="1"/>
    </xf>
    <xf numFmtId="0" fontId="23" fillId="5" borderId="1" xfId="17" applyFont="1" applyFill="1" applyBorder="1" applyAlignment="1">
      <alignment horizontal="center" vertical="center" wrapText="1"/>
    </xf>
    <xf numFmtId="0" fontId="1" fillId="5" borderId="3" xfId="0" applyFont="1" applyFill="1" applyBorder="1" applyAlignment="1">
      <alignment horizontal="left" vertical="top" wrapText="1"/>
    </xf>
    <xf numFmtId="0" fontId="23" fillId="5" borderId="50" xfId="17" applyFont="1" applyFill="1" applyBorder="1" applyAlignment="1">
      <alignment vertical="center" wrapText="1"/>
    </xf>
    <xf numFmtId="0" fontId="23" fillId="5" borderId="18" xfId="17" applyFont="1" applyFill="1" applyBorder="1" applyAlignment="1">
      <alignment horizontal="center" vertical="center" wrapText="1"/>
    </xf>
    <xf numFmtId="0" fontId="23" fillId="5" borderId="46" xfId="17" applyFont="1" applyFill="1" applyBorder="1" applyAlignment="1">
      <alignment horizontal="center" vertical="center" wrapText="1"/>
    </xf>
    <xf numFmtId="0" fontId="23" fillId="5" borderId="18" xfId="17" applyFont="1" applyFill="1" applyBorder="1" applyAlignment="1">
      <alignment vertical="center" wrapText="1"/>
    </xf>
    <xf numFmtId="0" fontId="23" fillId="5" borderId="22" xfId="16" applyFont="1" applyFill="1" applyBorder="1" applyAlignment="1">
      <alignment horizontal="center" vertical="center" wrapText="1"/>
    </xf>
    <xf numFmtId="0" fontId="23" fillId="5" borderId="8" xfId="17" applyFont="1" applyFill="1" applyBorder="1" applyAlignment="1">
      <alignment horizontal="center" vertical="center" wrapText="1"/>
    </xf>
    <xf numFmtId="0" fontId="23" fillId="5" borderId="18" xfId="16" applyFont="1" applyFill="1" applyBorder="1" applyAlignment="1">
      <alignment horizontal="center" vertical="center" wrapText="1"/>
    </xf>
    <xf numFmtId="0" fontId="23" fillId="5" borderId="8" xfId="17" applyFont="1" applyFill="1" applyBorder="1" applyAlignment="1">
      <alignment horizontal="center" vertical="center"/>
    </xf>
    <xf numFmtId="0" fontId="23" fillId="5" borderId="8" xfId="16" applyFont="1" applyFill="1" applyBorder="1" applyAlignment="1">
      <alignment horizontal="center" vertical="center" wrapText="1"/>
    </xf>
    <xf numFmtId="0" fontId="23" fillId="5" borderId="18" xfId="17" applyFont="1" applyFill="1" applyBorder="1" applyAlignment="1">
      <alignment horizontal="center" vertical="center"/>
    </xf>
    <xf numFmtId="0" fontId="1" fillId="5" borderId="0" xfId="0" applyFont="1" applyFill="1" applyAlignment="1">
      <alignment vertical="center"/>
    </xf>
    <xf numFmtId="166" fontId="23" fillId="5" borderId="12" xfId="15" applyNumberFormat="1" applyFont="1" applyFill="1" applyBorder="1" applyAlignment="1">
      <alignment horizontal="center" vertical="center"/>
    </xf>
    <xf numFmtId="0" fontId="11" fillId="5" borderId="7" xfId="17" applyFont="1" applyFill="1" applyBorder="1" applyAlignment="1">
      <alignment wrapText="1"/>
    </xf>
    <xf numFmtId="0" fontId="11" fillId="5" borderId="12" xfId="17" applyFont="1" applyFill="1" applyBorder="1" applyAlignment="1">
      <alignment wrapText="1"/>
    </xf>
    <xf numFmtId="0" fontId="11" fillId="5" borderId="39" xfId="17" applyFont="1" applyFill="1" applyBorder="1" applyAlignment="1">
      <alignment wrapText="1"/>
    </xf>
    <xf numFmtId="0" fontId="1" fillId="5" borderId="11" xfId="0" applyFont="1" applyFill="1" applyBorder="1" applyAlignment="1">
      <alignment wrapText="1"/>
    </xf>
    <xf numFmtId="0" fontId="1" fillId="5" borderId="7" xfId="0" applyFont="1" applyFill="1" applyBorder="1" applyAlignment="1">
      <alignment wrapText="1"/>
    </xf>
    <xf numFmtId="0" fontId="11" fillId="5" borderId="42" xfId="17" applyFont="1" applyFill="1" applyBorder="1" applyAlignment="1">
      <alignment wrapText="1"/>
    </xf>
    <xf numFmtId="0" fontId="11" fillId="5" borderId="24" xfId="17" applyFont="1" applyFill="1" applyBorder="1" applyAlignment="1">
      <alignment wrapText="1"/>
    </xf>
    <xf numFmtId="0" fontId="11" fillId="5" borderId="4" xfId="17" applyFont="1" applyFill="1" applyBorder="1" applyAlignment="1">
      <alignment wrapText="1"/>
    </xf>
    <xf numFmtId="0" fontId="11" fillId="5" borderId="11" xfId="17" applyFont="1" applyFill="1" applyBorder="1" applyAlignment="1">
      <alignment wrapText="1"/>
    </xf>
    <xf numFmtId="0" fontId="11" fillId="5" borderId="11" xfId="17" applyFont="1" applyFill="1" applyBorder="1"/>
    <xf numFmtId="0" fontId="11" fillId="5" borderId="7" xfId="17" applyFont="1" applyFill="1" applyBorder="1"/>
    <xf numFmtId="166" fontId="23" fillId="5" borderId="10" xfId="15" applyNumberFormat="1" applyFont="1" applyFill="1" applyBorder="1" applyAlignment="1">
      <alignment horizontal="center" vertical="center"/>
    </xf>
    <xf numFmtId="0" fontId="1" fillId="5" borderId="5" xfId="0" applyFont="1" applyFill="1" applyBorder="1" applyAlignment="1">
      <alignment wrapText="1"/>
    </xf>
    <xf numFmtId="0" fontId="11" fillId="5" borderId="5" xfId="17" applyFont="1" applyFill="1" applyBorder="1" applyAlignment="1">
      <alignment wrapText="1"/>
    </xf>
    <xf numFmtId="0" fontId="11" fillId="5" borderId="37" xfId="17" applyFont="1" applyFill="1" applyBorder="1" applyAlignment="1">
      <alignment wrapText="1"/>
    </xf>
    <xf numFmtId="0" fontId="1" fillId="5" borderId="36" xfId="0" applyFont="1" applyFill="1" applyBorder="1" applyAlignment="1">
      <alignment wrapText="1"/>
    </xf>
    <xf numFmtId="0" fontId="1" fillId="5" borderId="4" xfId="0" applyFont="1" applyFill="1" applyBorder="1" applyAlignment="1">
      <alignment wrapText="1"/>
    </xf>
    <xf numFmtId="0" fontId="11" fillId="5" borderId="36" xfId="17" applyFont="1" applyFill="1" applyBorder="1" applyAlignment="1">
      <alignment wrapText="1"/>
    </xf>
    <xf numFmtId="0" fontId="1" fillId="5" borderId="22" xfId="0" applyFont="1" applyFill="1" applyBorder="1" applyAlignment="1">
      <alignment wrapText="1"/>
    </xf>
    <xf numFmtId="0" fontId="11" fillId="5" borderId="22" xfId="17" applyFont="1" applyFill="1" applyBorder="1" applyAlignment="1">
      <alignment wrapText="1"/>
    </xf>
    <xf numFmtId="0" fontId="1" fillId="5" borderId="10" xfId="0" applyFont="1" applyFill="1" applyBorder="1" applyAlignment="1">
      <alignment wrapText="1"/>
    </xf>
    <xf numFmtId="0" fontId="11" fillId="5" borderId="8" xfId="17" applyFont="1" applyFill="1" applyBorder="1" applyAlignment="1">
      <alignment wrapText="1"/>
    </xf>
    <xf numFmtId="0" fontId="11" fillId="5" borderId="10" xfId="17" applyFont="1" applyFill="1" applyBorder="1" applyAlignment="1">
      <alignment wrapText="1"/>
    </xf>
    <xf numFmtId="0" fontId="1" fillId="5" borderId="8" xfId="0" applyFont="1" applyFill="1" applyBorder="1" applyAlignment="1">
      <alignment wrapText="1"/>
    </xf>
    <xf numFmtId="0" fontId="11" fillId="5" borderId="9" xfId="17" applyFont="1" applyFill="1" applyBorder="1" applyAlignment="1">
      <alignment wrapText="1"/>
    </xf>
    <xf numFmtId="0" fontId="11" fillId="5" borderId="44" xfId="17" applyFont="1" applyFill="1" applyBorder="1" applyAlignment="1">
      <alignment wrapText="1"/>
    </xf>
    <xf numFmtId="0" fontId="1" fillId="5" borderId="46" xfId="0" applyFont="1" applyFill="1" applyBorder="1" applyAlignment="1">
      <alignment wrapText="1"/>
    </xf>
    <xf numFmtId="0" fontId="1" fillId="5" borderId="45" xfId="0" applyFont="1" applyFill="1" applyBorder="1" applyAlignment="1">
      <alignment wrapText="1"/>
    </xf>
    <xf numFmtId="0" fontId="1" fillId="5" borderId="18" xfId="0" applyFont="1" applyFill="1" applyBorder="1" applyAlignment="1">
      <alignment wrapText="1"/>
    </xf>
    <xf numFmtId="166" fontId="23" fillId="5" borderId="11" xfId="15" applyNumberFormat="1" applyFont="1" applyFill="1" applyBorder="1" applyAlignment="1">
      <alignment horizontal="center" vertical="center"/>
    </xf>
    <xf numFmtId="0" fontId="1" fillId="5" borderId="42" xfId="0" applyFont="1" applyFill="1" applyBorder="1" applyAlignment="1">
      <alignment wrapText="1"/>
    </xf>
    <xf numFmtId="166" fontId="23" fillId="5" borderId="43" xfId="15" applyNumberFormat="1" applyFont="1" applyFill="1" applyBorder="1" applyAlignment="1">
      <alignment horizontal="center" vertical="center"/>
    </xf>
    <xf numFmtId="166" fontId="23" fillId="5" borderId="2" xfId="15" applyNumberFormat="1" applyFont="1" applyFill="1" applyBorder="1" applyAlignment="1">
      <alignment horizontal="center" vertical="center"/>
    </xf>
    <xf numFmtId="0" fontId="11" fillId="5" borderId="6" xfId="17" applyFont="1" applyFill="1" applyBorder="1" applyAlignment="1">
      <alignment wrapText="1"/>
    </xf>
    <xf numFmtId="0" fontId="11" fillId="5" borderId="0" xfId="17" applyFont="1" applyFill="1" applyAlignment="1">
      <alignment wrapText="1"/>
    </xf>
    <xf numFmtId="0" fontId="11" fillId="5" borderId="3" xfId="17" applyFont="1" applyFill="1" applyBorder="1" applyAlignment="1">
      <alignment wrapText="1"/>
    </xf>
    <xf numFmtId="0" fontId="11" fillId="5" borderId="2" xfId="17" applyFont="1" applyFill="1" applyBorder="1" applyAlignment="1">
      <alignment wrapText="1"/>
    </xf>
    <xf numFmtId="0" fontId="11" fillId="5" borderId="46" xfId="17" applyFont="1" applyFill="1" applyBorder="1" applyAlignment="1">
      <alignment wrapText="1"/>
    </xf>
    <xf numFmtId="0" fontId="11" fillId="5" borderId="45" xfId="17" applyFont="1" applyFill="1" applyBorder="1" applyAlignment="1">
      <alignment wrapText="1"/>
    </xf>
    <xf numFmtId="0" fontId="11" fillId="5" borderId="18" xfId="17" applyFont="1" applyFill="1" applyBorder="1" applyAlignment="1">
      <alignment wrapText="1"/>
    </xf>
    <xf numFmtId="0" fontId="1" fillId="5" borderId="37" xfId="0" applyFont="1" applyFill="1" applyBorder="1"/>
    <xf numFmtId="0" fontId="1" fillId="5" borderId="36" xfId="0" applyFont="1" applyFill="1" applyBorder="1"/>
    <xf numFmtId="0" fontId="1" fillId="5" borderId="5" xfId="0" applyFont="1" applyFill="1" applyBorder="1"/>
    <xf numFmtId="0" fontId="1" fillId="5" borderId="4" xfId="0" applyFont="1" applyFill="1" applyBorder="1"/>
    <xf numFmtId="166" fontId="23" fillId="5" borderId="5" xfId="15" applyNumberFormat="1" applyFont="1" applyFill="1" applyBorder="1" applyAlignment="1">
      <alignment horizontal="center" vertical="center"/>
    </xf>
    <xf numFmtId="0" fontId="1" fillId="5" borderId="24" xfId="0" applyFont="1" applyFill="1" applyBorder="1"/>
    <xf numFmtId="0" fontId="1" fillId="5" borderId="12" xfId="0" applyFont="1" applyFill="1" applyBorder="1"/>
    <xf numFmtId="0" fontId="15" fillId="5" borderId="0" xfId="17" applyFont="1" applyFill="1"/>
    <xf numFmtId="0" fontId="8" fillId="5" borderId="0" xfId="0" applyFont="1" applyFill="1" applyAlignment="1">
      <alignment wrapText="1"/>
    </xf>
    <xf numFmtId="0" fontId="12" fillId="5" borderId="0" xfId="17" applyFont="1" applyFill="1"/>
    <xf numFmtId="167" fontId="23" fillId="5" borderId="10" xfId="17" applyNumberFormat="1" applyFont="1" applyFill="1" applyBorder="1" applyAlignment="1">
      <alignment horizontal="left" wrapText="1"/>
    </xf>
    <xf numFmtId="0" fontId="23" fillId="5" borderId="10" xfId="17" applyFont="1" applyFill="1" applyBorder="1" applyAlignment="1">
      <alignment wrapText="1"/>
    </xf>
    <xf numFmtId="0" fontId="23" fillId="5" borderId="22" xfId="17" applyFont="1" applyFill="1" applyBorder="1" applyAlignment="1">
      <alignment wrapText="1"/>
    </xf>
    <xf numFmtId="167" fontId="23" fillId="5" borderId="38" xfId="17" applyNumberFormat="1" applyFont="1" applyFill="1" applyBorder="1" applyAlignment="1">
      <alignment horizontal="left" wrapText="1"/>
    </xf>
    <xf numFmtId="0" fontId="19" fillId="5" borderId="2" xfId="0" applyFont="1" applyFill="1" applyBorder="1" applyAlignment="1">
      <alignment wrapText="1"/>
    </xf>
    <xf numFmtId="0" fontId="26" fillId="5" borderId="0" xfId="0" applyFont="1" applyFill="1" applyAlignment="1">
      <alignment vertical="top" wrapText="1"/>
    </xf>
    <xf numFmtId="0" fontId="19" fillId="5" borderId="41" xfId="0" applyFont="1" applyFill="1" applyBorder="1" applyAlignment="1">
      <alignment horizontal="center" vertical="top" wrapText="1"/>
    </xf>
    <xf numFmtId="0" fontId="19" fillId="5" borderId="4" xfId="0" applyFont="1" applyFill="1" applyBorder="1" applyAlignment="1">
      <alignment horizontal="center" vertical="top" wrapText="1"/>
    </xf>
    <xf numFmtId="0" fontId="19" fillId="5" borderId="2" xfId="17" applyFont="1" applyFill="1" applyBorder="1" applyAlignment="1">
      <alignment wrapText="1"/>
    </xf>
    <xf numFmtId="0" fontId="19" fillId="5" borderId="1" xfId="17" applyFont="1" applyFill="1" applyBorder="1" applyAlignment="1">
      <alignment horizontal="left"/>
    </xf>
    <xf numFmtId="0" fontId="8" fillId="5" borderId="20" xfId="17" applyFont="1" applyFill="1" applyBorder="1"/>
    <xf numFmtId="0" fontId="11" fillId="5" borderId="0" xfId="17" applyFont="1" applyFill="1" applyAlignment="1">
      <alignment horizontal="center"/>
    </xf>
    <xf numFmtId="0" fontId="19" fillId="5" borderId="3" xfId="17" applyFont="1" applyFill="1" applyBorder="1" applyAlignment="1">
      <alignment vertical="center"/>
    </xf>
    <xf numFmtId="0" fontId="23" fillId="5" borderId="2" xfId="17" applyFont="1" applyFill="1" applyBorder="1" applyAlignment="1">
      <alignment vertical="center" wrapText="1"/>
    </xf>
    <xf numFmtId="0" fontId="19" fillId="5" borderId="3" xfId="0" applyFont="1" applyFill="1" applyBorder="1" applyAlignment="1">
      <alignment horizontal="right"/>
    </xf>
    <xf numFmtId="0" fontId="19" fillId="5" borderId="20" xfId="0" applyFont="1" applyFill="1" applyBorder="1" applyAlignment="1">
      <alignment horizontal="right"/>
    </xf>
    <xf numFmtId="0" fontId="19" fillId="5" borderId="3" xfId="0" applyFont="1" applyFill="1" applyBorder="1" applyAlignment="1">
      <alignment vertical="center" wrapText="1"/>
    </xf>
    <xf numFmtId="0" fontId="19" fillId="5" borderId="20" xfId="17" applyFont="1" applyFill="1" applyBorder="1"/>
    <xf numFmtId="0" fontId="23" fillId="5" borderId="0" xfId="17" applyFont="1" applyFill="1" applyAlignment="1">
      <alignment wrapText="1"/>
    </xf>
    <xf numFmtId="0" fontId="23" fillId="5" borderId="1" xfId="17" applyFont="1" applyFill="1" applyBorder="1" applyAlignment="1">
      <alignment vertical="center" wrapText="1"/>
    </xf>
    <xf numFmtId="0" fontId="23" fillId="5" borderId="0" xfId="17" applyFont="1" applyFill="1" applyAlignment="1">
      <alignment vertical="center" wrapText="1"/>
    </xf>
    <xf numFmtId="0" fontId="23" fillId="5" borderId="10" xfId="17" applyFont="1" applyFill="1" applyBorder="1" applyAlignment="1">
      <alignment horizontal="center"/>
    </xf>
    <xf numFmtId="0" fontId="23" fillId="5" borderId="44" xfId="17" applyFont="1" applyFill="1" applyBorder="1" applyAlignment="1">
      <alignment horizontal="center" vertical="center" wrapText="1"/>
    </xf>
    <xf numFmtId="0" fontId="23" fillId="5" borderId="45" xfId="17" applyFont="1" applyFill="1" applyBorder="1" applyAlignment="1">
      <alignment horizontal="center"/>
    </xf>
    <xf numFmtId="0" fontId="23" fillId="5" borderId="50" xfId="17" applyFont="1" applyFill="1" applyBorder="1" applyAlignment="1">
      <alignment horizontal="center"/>
    </xf>
    <xf numFmtId="0" fontId="23" fillId="5" borderId="22" xfId="17" applyFont="1" applyFill="1" applyBorder="1" applyAlignment="1">
      <alignment horizontal="center"/>
    </xf>
    <xf numFmtId="0" fontId="23" fillId="5" borderId="9" xfId="17" applyFont="1" applyFill="1" applyBorder="1" applyAlignment="1">
      <alignment horizontal="center"/>
    </xf>
    <xf numFmtId="0" fontId="19" fillId="5" borderId="42" xfId="17" applyFont="1" applyFill="1" applyBorder="1"/>
    <xf numFmtId="0" fontId="19" fillId="5" borderId="39" xfId="17" applyFont="1" applyFill="1" applyBorder="1"/>
    <xf numFmtId="0" fontId="19" fillId="5" borderId="7" xfId="17" applyFont="1" applyFill="1" applyBorder="1"/>
    <xf numFmtId="0" fontId="19" fillId="5" borderId="11" xfId="17" applyFont="1" applyFill="1" applyBorder="1"/>
    <xf numFmtId="0" fontId="19" fillId="5" borderId="24" xfId="17" applyFont="1" applyFill="1" applyBorder="1"/>
    <xf numFmtId="0" fontId="19" fillId="5" borderId="40" xfId="17" applyFont="1" applyFill="1" applyBorder="1"/>
    <xf numFmtId="0" fontId="19" fillId="5" borderId="12" xfId="17" applyFont="1" applyFill="1" applyBorder="1"/>
    <xf numFmtId="0" fontId="19" fillId="5" borderId="22" xfId="17" applyFont="1" applyFill="1" applyBorder="1"/>
    <xf numFmtId="0" fontId="19" fillId="5" borderId="9" xfId="17" applyFont="1" applyFill="1" applyBorder="1"/>
    <xf numFmtId="0" fontId="19" fillId="5" borderId="8" xfId="17" applyFont="1" applyFill="1" applyBorder="1"/>
    <xf numFmtId="0" fontId="19" fillId="5" borderId="10" xfId="17" applyFont="1" applyFill="1" applyBorder="1"/>
    <xf numFmtId="0" fontId="19" fillId="5" borderId="38" xfId="17" applyFont="1" applyFill="1" applyBorder="1"/>
    <xf numFmtId="0" fontId="19" fillId="5" borderId="37" xfId="17" applyFont="1" applyFill="1" applyBorder="1"/>
    <xf numFmtId="0" fontId="19" fillId="5" borderId="4" xfId="17" applyFont="1" applyFill="1" applyBorder="1"/>
    <xf numFmtId="0" fontId="19" fillId="5" borderId="5" xfId="17" applyFont="1" applyFill="1" applyBorder="1"/>
    <xf numFmtId="0" fontId="19" fillId="5" borderId="41" xfId="17" applyFont="1" applyFill="1" applyBorder="1"/>
    <xf numFmtId="166" fontId="23" fillId="5" borderId="47" xfId="15" applyNumberFormat="1" applyFont="1" applyFill="1" applyBorder="1" applyAlignment="1">
      <alignment horizontal="center" vertical="center"/>
    </xf>
    <xf numFmtId="166" fontId="23" fillId="5" borderId="45" xfId="15" applyNumberFormat="1" applyFont="1" applyFill="1" applyBorder="1" applyAlignment="1">
      <alignment horizontal="center" vertical="center"/>
    </xf>
    <xf numFmtId="0" fontId="19" fillId="5" borderId="46" xfId="17" applyFont="1" applyFill="1" applyBorder="1"/>
    <xf numFmtId="0" fontId="19" fillId="5" borderId="44" xfId="17" applyFont="1" applyFill="1" applyBorder="1"/>
    <xf numFmtId="0" fontId="19" fillId="5" borderId="18" xfId="17" applyFont="1" applyFill="1" applyBorder="1"/>
    <xf numFmtId="0" fontId="19" fillId="5" borderId="45" xfId="17" applyFont="1" applyFill="1" applyBorder="1"/>
    <xf numFmtId="0" fontId="19" fillId="5" borderId="50" xfId="17" applyFont="1" applyFill="1" applyBorder="1"/>
    <xf numFmtId="166" fontId="19" fillId="5" borderId="5" xfId="15" applyNumberFormat="1" applyFont="1" applyFill="1" applyBorder="1" applyAlignment="1">
      <alignment horizontal="center" vertical="center"/>
    </xf>
    <xf numFmtId="1" fontId="13" fillId="5" borderId="0" xfId="3" applyNumberFormat="1" applyFont="1" applyFill="1" applyBorder="1" applyAlignment="1">
      <alignment horizontal="center" vertical="center"/>
    </xf>
    <xf numFmtId="0" fontId="11" fillId="5" borderId="0" xfId="17" applyFont="1" applyFill="1" applyAlignment="1">
      <alignment vertical="center"/>
    </xf>
    <xf numFmtId="1" fontId="9" fillId="5" borderId="0" xfId="3" applyNumberFormat="1" applyFont="1" applyFill="1" applyBorder="1" applyAlignment="1">
      <alignment horizontal="center" vertical="center"/>
    </xf>
    <xf numFmtId="0" fontId="2" fillId="5" borderId="0" xfId="17" applyFill="1" applyAlignment="1">
      <alignment vertical="center"/>
    </xf>
    <xf numFmtId="1" fontId="9" fillId="5" borderId="0" xfId="3" applyNumberFormat="1" applyFont="1" applyFill="1" applyBorder="1" applyAlignment="1">
      <alignment horizontal="center"/>
    </xf>
    <xf numFmtId="0" fontId="20" fillId="5" borderId="0" xfId="17" applyFont="1" applyFill="1"/>
    <xf numFmtId="1" fontId="19" fillId="5" borderId="0" xfId="3" applyNumberFormat="1" applyFont="1" applyFill="1" applyBorder="1" applyAlignment="1">
      <alignment horizontal="left" vertical="top" wrapText="1"/>
    </xf>
    <xf numFmtId="0" fontId="19" fillId="5" borderId="0" xfId="10" applyFont="1" applyFill="1" applyAlignment="1">
      <alignment horizontal="left" vertical="top"/>
    </xf>
    <xf numFmtId="0" fontId="19" fillId="5" borderId="2" xfId="10" applyFont="1" applyFill="1" applyBorder="1" applyAlignment="1">
      <alignment horizontal="left" vertical="top"/>
    </xf>
    <xf numFmtId="0" fontId="19" fillId="5" borderId="0" xfId="10" applyFont="1" applyFill="1" applyAlignment="1">
      <alignment horizontal="center" vertical="top"/>
    </xf>
    <xf numFmtId="0" fontId="20" fillId="5" borderId="2" xfId="17" applyFont="1" applyFill="1" applyBorder="1"/>
    <xf numFmtId="1" fontId="19" fillId="5" borderId="1" xfId="3" applyNumberFormat="1" applyFont="1" applyFill="1" applyBorder="1" applyAlignment="1">
      <alignment vertical="top" wrapText="1"/>
    </xf>
    <xf numFmtId="1" fontId="19" fillId="5" borderId="2" xfId="3" applyNumberFormat="1" applyFont="1" applyFill="1" applyBorder="1" applyAlignment="1">
      <alignment vertical="top" wrapText="1"/>
    </xf>
    <xf numFmtId="0" fontId="19" fillId="5" borderId="0" xfId="17" applyFont="1" applyFill="1" applyAlignment="1">
      <alignment horizontal="center"/>
    </xf>
    <xf numFmtId="0" fontId="19" fillId="5" borderId="2" xfId="10" applyFont="1" applyFill="1" applyBorder="1"/>
    <xf numFmtId="1" fontId="19" fillId="5" borderId="3" xfId="3" applyNumberFormat="1" applyFont="1" applyFill="1" applyBorder="1" applyAlignment="1">
      <alignment vertical="top" wrapText="1"/>
    </xf>
    <xf numFmtId="0" fontId="20" fillId="5" borderId="3" xfId="10" applyFont="1" applyFill="1" applyBorder="1" applyAlignment="1">
      <alignment horizontal="left" vertical="top"/>
    </xf>
    <xf numFmtId="1" fontId="19" fillId="5" borderId="3" xfId="3" applyNumberFormat="1" applyFont="1" applyFill="1" applyBorder="1" applyAlignment="1">
      <alignment wrapText="1"/>
    </xf>
    <xf numFmtId="1" fontId="19" fillId="5" borderId="3" xfId="3" applyNumberFormat="1" applyFont="1" applyFill="1" applyBorder="1" applyAlignment="1">
      <alignment horizontal="center"/>
    </xf>
    <xf numFmtId="0" fontId="20" fillId="5" borderId="3" xfId="0" applyFont="1" applyFill="1" applyBorder="1" applyAlignment="1">
      <alignment wrapText="1"/>
    </xf>
    <xf numFmtId="1" fontId="19" fillId="5" borderId="3" xfId="3" applyNumberFormat="1" applyFont="1" applyFill="1" applyBorder="1" applyAlignment="1">
      <alignment vertical="top"/>
    </xf>
    <xf numFmtId="1" fontId="19" fillId="5" borderId="3" xfId="3" applyNumberFormat="1" applyFont="1" applyFill="1" applyBorder="1" applyAlignment="1">
      <alignment horizontal="left"/>
    </xf>
    <xf numFmtId="1" fontId="19" fillId="5" borderId="1" xfId="3" applyNumberFormat="1" applyFont="1" applyFill="1" applyBorder="1" applyAlignment="1">
      <alignment horizontal="center"/>
    </xf>
    <xf numFmtId="1" fontId="19" fillId="5" borderId="0" xfId="3" applyNumberFormat="1" applyFont="1" applyFill="1" applyBorder="1" applyAlignment="1">
      <alignment horizontal="left"/>
    </xf>
    <xf numFmtId="167" fontId="19" fillId="5" borderId="3" xfId="17" applyNumberFormat="1" applyFont="1" applyFill="1" applyBorder="1" applyAlignment="1">
      <alignment horizontal="center"/>
    </xf>
    <xf numFmtId="0" fontId="20" fillId="5" borderId="3" xfId="10" applyFont="1" applyFill="1" applyBorder="1"/>
    <xf numFmtId="167" fontId="19" fillId="5" borderId="3" xfId="17" applyNumberFormat="1" applyFont="1" applyFill="1" applyBorder="1" applyAlignment="1">
      <alignment horizontal="left"/>
    </xf>
    <xf numFmtId="0" fontId="20" fillId="5" borderId="1" xfId="17" applyFont="1" applyFill="1" applyBorder="1"/>
    <xf numFmtId="0" fontId="20" fillId="5" borderId="3" xfId="17" applyFont="1" applyFill="1" applyBorder="1"/>
    <xf numFmtId="1" fontId="9" fillId="5" borderId="3" xfId="3" applyNumberFormat="1" applyFont="1" applyFill="1" applyBorder="1" applyAlignment="1">
      <alignment horizontal="center"/>
    </xf>
    <xf numFmtId="0" fontId="2" fillId="5" borderId="3" xfId="17" applyFill="1" applyBorder="1"/>
    <xf numFmtId="0" fontId="19" fillId="5" borderId="3" xfId="17" applyFont="1" applyFill="1" applyBorder="1" applyAlignment="1">
      <alignment horizontal="center"/>
    </xf>
    <xf numFmtId="0" fontId="20" fillId="5" borderId="3" xfId="10" applyFont="1" applyFill="1" applyBorder="1" applyAlignment="1">
      <alignment horizontal="center"/>
    </xf>
    <xf numFmtId="0" fontId="23" fillId="5" borderId="1" xfId="17" applyFont="1" applyFill="1" applyBorder="1" applyAlignment="1">
      <alignment horizontal="center"/>
    </xf>
    <xf numFmtId="0" fontId="23" fillId="5" borderId="23" xfId="17" applyFont="1" applyFill="1" applyBorder="1" applyAlignment="1">
      <alignment horizontal="center"/>
    </xf>
    <xf numFmtId="0" fontId="23" fillId="5" borderId="6" xfId="17" applyFont="1" applyFill="1" applyBorder="1" applyAlignment="1">
      <alignment horizontal="center"/>
    </xf>
    <xf numFmtId="0" fontId="20" fillId="5" borderId="6" xfId="17" applyFont="1" applyFill="1" applyBorder="1"/>
    <xf numFmtId="0" fontId="20" fillId="5" borderId="24" xfId="17" applyFont="1" applyFill="1" applyBorder="1"/>
    <xf numFmtId="1" fontId="23" fillId="5" borderId="18" xfId="3" applyNumberFormat="1" applyFont="1" applyFill="1" applyBorder="1" applyAlignment="1">
      <alignment horizontal="center"/>
    </xf>
    <xf numFmtId="1" fontId="23" fillId="5" borderId="46" xfId="3" applyNumberFormat="1" applyFont="1" applyFill="1" applyBorder="1" applyAlignment="1">
      <alignment horizontal="center"/>
    </xf>
    <xf numFmtId="1" fontId="23" fillId="5" borderId="44" xfId="3" applyNumberFormat="1" applyFont="1" applyFill="1" applyBorder="1" applyAlignment="1">
      <alignment horizontal="center"/>
    </xf>
    <xf numFmtId="0" fontId="10" fillId="5" borderId="18" xfId="10" applyFont="1" applyFill="1" applyBorder="1" applyAlignment="1">
      <alignment horizontal="center"/>
    </xf>
    <xf numFmtId="166" fontId="12" fillId="5" borderId="43" xfId="15" applyNumberFormat="1" applyFont="1" applyFill="1" applyBorder="1" applyAlignment="1">
      <alignment horizontal="center" vertical="center"/>
    </xf>
    <xf numFmtId="0" fontId="19" fillId="5" borderId="70" xfId="17" applyFont="1" applyFill="1" applyBorder="1"/>
    <xf numFmtId="0" fontId="15" fillId="5" borderId="3" xfId="17" applyFont="1" applyFill="1" applyBorder="1"/>
    <xf numFmtId="0" fontId="15" fillId="5" borderId="1" xfId="17" applyFont="1" applyFill="1" applyBorder="1"/>
    <xf numFmtId="0" fontId="15" fillId="5" borderId="6" xfId="17" applyFont="1" applyFill="1" applyBorder="1"/>
    <xf numFmtId="166" fontId="12" fillId="5" borderId="1" xfId="15" applyNumberFormat="1" applyFont="1" applyFill="1" applyBorder="1" applyAlignment="1">
      <alignment horizontal="center" vertical="center"/>
    </xf>
    <xf numFmtId="166" fontId="12" fillId="5" borderId="16" xfId="15" applyNumberFormat="1" applyFont="1" applyFill="1" applyBorder="1" applyAlignment="1">
      <alignment horizontal="center" vertical="center"/>
    </xf>
    <xf numFmtId="0" fontId="15" fillId="5" borderId="22" xfId="17" applyFont="1" applyFill="1" applyBorder="1"/>
    <xf numFmtId="0" fontId="15" fillId="5" borderId="8" xfId="17" applyFont="1" applyFill="1" applyBorder="1"/>
    <xf numFmtId="0" fontId="15" fillId="5" borderId="9" xfId="17" applyFont="1" applyFill="1" applyBorder="1"/>
    <xf numFmtId="0" fontId="15" fillId="5" borderId="4" xfId="17" applyFont="1" applyFill="1" applyBorder="1"/>
    <xf numFmtId="166" fontId="12" fillId="5" borderId="9" xfId="15" applyNumberFormat="1" applyFont="1" applyFill="1" applyBorder="1" applyAlignment="1">
      <alignment horizontal="center" vertical="center"/>
    </xf>
    <xf numFmtId="166" fontId="12" fillId="5" borderId="15" xfId="15" applyNumberFormat="1" applyFont="1" applyFill="1" applyBorder="1" applyAlignment="1">
      <alignment horizontal="center" vertical="center"/>
    </xf>
    <xf numFmtId="0" fontId="15" fillId="5" borderId="36" xfId="17" applyFont="1" applyFill="1" applyBorder="1"/>
    <xf numFmtId="0" fontId="15" fillId="5" borderId="37" xfId="17" applyFont="1" applyFill="1" applyBorder="1"/>
    <xf numFmtId="166" fontId="12" fillId="5" borderId="37" xfId="15" applyNumberFormat="1" applyFont="1" applyFill="1" applyBorder="1" applyAlignment="1">
      <alignment horizontal="center" vertical="center"/>
    </xf>
    <xf numFmtId="166" fontId="12" fillId="5" borderId="14" xfId="15" applyNumberFormat="1" applyFont="1" applyFill="1" applyBorder="1" applyAlignment="1">
      <alignment horizontal="center" vertical="center"/>
    </xf>
    <xf numFmtId="1" fontId="23" fillId="5" borderId="18" xfId="3" applyNumberFormat="1" applyFont="1" applyFill="1" applyBorder="1" applyAlignment="1">
      <alignment horizontal="center" wrapText="1"/>
    </xf>
    <xf numFmtId="0" fontId="19" fillId="5" borderId="0" xfId="17" applyFont="1" applyFill="1" applyAlignment="1">
      <alignment horizontal="left"/>
    </xf>
    <xf numFmtId="0" fontId="7" fillId="5" borderId="0" xfId="0" applyFont="1" applyFill="1"/>
    <xf numFmtId="0" fontId="1" fillId="5" borderId="0" xfId="0" applyFont="1" applyFill="1" applyAlignment="1">
      <alignment horizontal="left"/>
    </xf>
    <xf numFmtId="0" fontId="7" fillId="5" borderId="0" xfId="0" applyFont="1" applyFill="1" applyAlignment="1">
      <alignment horizontal="left"/>
    </xf>
    <xf numFmtId="0" fontId="7" fillId="5" borderId="24" xfId="0" applyFont="1" applyFill="1" applyBorder="1"/>
    <xf numFmtId="0" fontId="7" fillId="5" borderId="24" xfId="0" applyFont="1" applyFill="1" applyBorder="1" applyAlignment="1">
      <alignment horizontal="left"/>
    </xf>
    <xf numFmtId="0" fontId="19" fillId="5" borderId="4" xfId="0" applyFont="1" applyFill="1" applyBorder="1" applyAlignment="1">
      <alignment horizontal="left" vertical="top" wrapText="1"/>
    </xf>
    <xf numFmtId="0" fontId="8" fillId="5" borderId="0" xfId="0" applyFont="1" applyFill="1" applyAlignment="1">
      <alignment horizontal="left"/>
    </xf>
    <xf numFmtId="0" fontId="8" fillId="5" borderId="0" xfId="0" applyFont="1" applyFill="1"/>
    <xf numFmtId="0" fontId="7" fillId="5" borderId="0" xfId="10" applyFont="1" applyFill="1"/>
    <xf numFmtId="0" fontId="14" fillId="5" borderId="0" xfId="10" applyFont="1" applyFill="1" applyAlignment="1">
      <alignment horizontal="center"/>
    </xf>
    <xf numFmtId="0" fontId="14" fillId="5" borderId="0" xfId="10" applyFont="1" applyFill="1"/>
    <xf numFmtId="167" fontId="23" fillId="5" borderId="0" xfId="17" applyNumberFormat="1" applyFont="1" applyFill="1" applyAlignment="1">
      <alignment horizontal="left"/>
    </xf>
    <xf numFmtId="0" fontId="4" fillId="5" borderId="0" xfId="10" applyFont="1" applyFill="1"/>
    <xf numFmtId="167" fontId="19" fillId="5" borderId="15" xfId="17" applyNumberFormat="1" applyFont="1" applyFill="1" applyBorder="1" applyAlignment="1">
      <alignment horizontal="left"/>
    </xf>
    <xf numFmtId="0" fontId="4" fillId="5" borderId="0" xfId="0" applyFont="1" applyFill="1"/>
    <xf numFmtId="0" fontId="7" fillId="5" borderId="0" xfId="11" applyFont="1" applyFill="1"/>
    <xf numFmtId="0" fontId="19" fillId="5" borderId="0" xfId="11" applyFont="1" applyFill="1" applyAlignment="1">
      <alignment vertical="center"/>
    </xf>
    <xf numFmtId="0" fontId="19" fillId="5" borderId="0" xfId="11" applyFont="1" applyFill="1" applyAlignment="1">
      <alignment vertical="center" wrapText="1"/>
    </xf>
    <xf numFmtId="0" fontId="19" fillId="5" borderId="0" xfId="11" applyFont="1" applyFill="1" applyAlignment="1">
      <alignment horizontal="left" vertical="center" wrapText="1"/>
    </xf>
    <xf numFmtId="0" fontId="19" fillId="5" borderId="24" xfId="11" applyFont="1" applyFill="1" applyBorder="1"/>
    <xf numFmtId="0" fontId="19" fillId="5" borderId="0" xfId="11" applyFont="1" applyFill="1" applyAlignment="1">
      <alignment horizontal="left" vertical="center"/>
    </xf>
    <xf numFmtId="0" fontId="19" fillId="5" borderId="1" xfId="11" applyFont="1" applyFill="1" applyBorder="1"/>
    <xf numFmtId="0" fontId="23" fillId="5" borderId="0" xfId="11" applyFont="1" applyFill="1"/>
    <xf numFmtId="0" fontId="19" fillId="5" borderId="24" xfId="11" applyFont="1" applyFill="1" applyBorder="1" applyAlignment="1">
      <alignment wrapText="1"/>
    </xf>
    <xf numFmtId="49" fontId="19" fillId="5" borderId="0" xfId="11" applyNumberFormat="1" applyFont="1" applyFill="1" applyAlignment="1">
      <alignment horizontal="left" vertical="top"/>
    </xf>
    <xf numFmtId="0" fontId="23" fillId="5" borderId="0" xfId="11" applyFont="1" applyFill="1" applyAlignment="1">
      <alignment vertical="top"/>
    </xf>
    <xf numFmtId="0" fontId="29" fillId="5" borderId="0" xfId="14" applyFont="1" applyFill="1" applyAlignment="1">
      <alignment vertical="center"/>
    </xf>
    <xf numFmtId="1" fontId="12" fillId="5" borderId="0" xfId="2" applyNumberFormat="1" applyFont="1" applyFill="1" applyBorder="1" applyAlignment="1">
      <alignment horizontal="left" vertical="center"/>
    </xf>
    <xf numFmtId="0" fontId="13" fillId="5" borderId="0" xfId="14" applyFont="1" applyFill="1" applyAlignment="1">
      <alignment horizontal="center" vertical="center"/>
    </xf>
    <xf numFmtId="0" fontId="11" fillId="5" borderId="0" xfId="14" applyFont="1" applyFill="1" applyAlignment="1">
      <alignment vertical="center"/>
    </xf>
    <xf numFmtId="167" fontId="19" fillId="5" borderId="4" xfId="14" applyNumberFormat="1" applyFont="1" applyFill="1" applyBorder="1" applyAlignment="1">
      <alignment horizontal="left" vertical="center"/>
    </xf>
    <xf numFmtId="167" fontId="19" fillId="5" borderId="37" xfId="14" applyNumberFormat="1" applyFont="1" applyFill="1" applyBorder="1" applyAlignment="1">
      <alignment horizontal="left" vertical="center"/>
    </xf>
    <xf numFmtId="167" fontId="19" fillId="5" borderId="36" xfId="14" applyNumberFormat="1" applyFont="1" applyFill="1" applyBorder="1" applyAlignment="1">
      <alignment horizontal="left" vertical="center"/>
    </xf>
    <xf numFmtId="1" fontId="12" fillId="5" borderId="14" xfId="2" quotePrefix="1" applyNumberFormat="1" applyFont="1" applyFill="1" applyBorder="1" applyAlignment="1">
      <alignment horizontal="center"/>
    </xf>
    <xf numFmtId="0" fontId="19" fillId="5" borderId="24" xfId="14" applyFont="1" applyFill="1" applyBorder="1" applyAlignment="1">
      <alignment horizontal="left" vertical="center"/>
    </xf>
    <xf numFmtId="0" fontId="15" fillId="5" borderId="6" xfId="14" applyFont="1" applyFill="1" applyBorder="1" applyAlignment="1">
      <alignment vertical="center"/>
    </xf>
    <xf numFmtId="0" fontId="15" fillId="5" borderId="12" xfId="14" applyFont="1" applyFill="1" applyBorder="1" applyAlignment="1">
      <alignment horizontal="right" vertical="center"/>
    </xf>
    <xf numFmtId="0" fontId="15" fillId="5" borderId="6" xfId="14" applyFont="1" applyFill="1" applyBorder="1" applyAlignment="1">
      <alignment horizontal="right" vertical="center"/>
    </xf>
    <xf numFmtId="1" fontId="12" fillId="5" borderId="15" xfId="2" quotePrefix="1" applyNumberFormat="1" applyFont="1" applyFill="1" applyBorder="1" applyAlignment="1">
      <alignment horizontal="center"/>
    </xf>
    <xf numFmtId="0" fontId="15" fillId="5" borderId="4" xfId="14" applyFont="1" applyFill="1" applyBorder="1" applyAlignment="1">
      <alignment vertical="center"/>
    </xf>
    <xf numFmtId="0" fontId="19" fillId="5" borderId="36" xfId="14" applyFont="1" applyFill="1" applyBorder="1" applyAlignment="1">
      <alignment horizontal="left" vertical="center"/>
    </xf>
    <xf numFmtId="0" fontId="15" fillId="5" borderId="5" xfId="14" applyFont="1" applyFill="1" applyBorder="1" applyAlignment="1">
      <alignment horizontal="right" vertical="center"/>
    </xf>
    <xf numFmtId="0" fontId="15" fillId="5" borderId="4" xfId="14" applyFont="1" applyFill="1" applyBorder="1" applyAlignment="1">
      <alignment horizontal="right" vertical="center"/>
    </xf>
    <xf numFmtId="1" fontId="7" fillId="5" borderId="0" xfId="2" applyNumberFormat="1" applyFont="1" applyFill="1" applyBorder="1" applyAlignment="1">
      <alignment horizontal="left" vertical="center"/>
    </xf>
    <xf numFmtId="0" fontId="8" fillId="5" borderId="24" xfId="17" applyFont="1" applyFill="1" applyBorder="1"/>
    <xf numFmtId="167" fontId="19" fillId="5" borderId="4" xfId="17" applyNumberFormat="1" applyFont="1" applyFill="1" applyBorder="1" applyAlignment="1">
      <alignment horizontal="left"/>
    </xf>
    <xf numFmtId="0" fontId="19" fillId="5" borderId="3" xfId="10" applyFont="1" applyFill="1" applyBorder="1" applyAlignment="1">
      <alignment horizontal="left" wrapText="1"/>
    </xf>
    <xf numFmtId="0" fontId="23" fillId="5" borderId="18" xfId="10" applyFont="1" applyFill="1" applyBorder="1" applyAlignment="1">
      <alignment horizontal="center" wrapText="1"/>
    </xf>
    <xf numFmtId="0" fontId="23" fillId="5" borderId="15" xfId="17" applyFont="1" applyFill="1" applyBorder="1" applyAlignment="1">
      <alignment horizontal="center" vertical="center"/>
    </xf>
    <xf numFmtId="0" fontId="23" fillId="5" borderId="8" xfId="10" applyFont="1" applyFill="1" applyBorder="1" applyAlignment="1">
      <alignment horizontal="center" wrapText="1"/>
    </xf>
    <xf numFmtId="0" fontId="19" fillId="5" borderId="4" xfId="10" applyFont="1" applyFill="1" applyBorder="1" applyAlignment="1">
      <alignment horizontal="center"/>
    </xf>
    <xf numFmtId="0" fontId="19" fillId="5" borderId="4" xfId="0" applyFont="1" applyFill="1" applyBorder="1" applyAlignment="1">
      <alignment horizontal="center" wrapText="1"/>
    </xf>
    <xf numFmtId="0" fontId="23" fillId="5" borderId="4" xfId="10" applyFont="1" applyFill="1" applyBorder="1" applyAlignment="1">
      <alignment horizontal="center" wrapText="1"/>
    </xf>
    <xf numFmtId="0" fontId="8" fillId="5" borderId="5" xfId="0" applyFont="1" applyFill="1" applyBorder="1"/>
    <xf numFmtId="0" fontId="1" fillId="5" borderId="6" xfId="0" applyFont="1" applyFill="1" applyBorder="1" applyAlignment="1">
      <alignment horizontal="center" vertical="center" wrapText="1"/>
    </xf>
    <xf numFmtId="0" fontId="14" fillId="5" borderId="0" xfId="0" applyFont="1" applyFill="1"/>
    <xf numFmtId="0" fontId="1" fillId="5" borderId="4" xfId="0" applyFont="1" applyFill="1" applyBorder="1" applyAlignment="1">
      <alignment horizontal="center" vertical="center" wrapText="1"/>
    </xf>
    <xf numFmtId="0" fontId="14" fillId="5" borderId="4" xfId="0" applyFont="1" applyFill="1" applyBorder="1"/>
    <xf numFmtId="0" fontId="23" fillId="5" borderId="55" xfId="10" applyFont="1" applyFill="1" applyBorder="1" applyAlignment="1">
      <alignment horizontal="center" vertical="center" wrapText="1"/>
    </xf>
    <xf numFmtId="0" fontId="19" fillId="5" borderId="15" xfId="10" applyFont="1" applyFill="1" applyBorder="1" applyAlignment="1">
      <alignment horizontal="center" vertical="center" wrapText="1"/>
    </xf>
    <xf numFmtId="0" fontId="23" fillId="5" borderId="3" xfId="10" applyFont="1" applyFill="1" applyBorder="1" applyAlignment="1">
      <alignment horizontal="center" vertical="center" wrapText="1"/>
    </xf>
    <xf numFmtId="0" fontId="1" fillId="5" borderId="3" xfId="0" applyFont="1" applyFill="1" applyBorder="1" applyAlignment="1">
      <alignment horizontal="center" vertical="center" wrapText="1"/>
    </xf>
    <xf numFmtId="0" fontId="19" fillId="5" borderId="2" xfId="10" applyFont="1" applyFill="1" applyBorder="1" applyAlignment="1">
      <alignment horizontal="left" vertical="center" wrapText="1"/>
    </xf>
    <xf numFmtId="0" fontId="23" fillId="5" borderId="4" xfId="10" applyFont="1" applyFill="1" applyBorder="1" applyAlignment="1">
      <alignment horizontal="center" vertical="center" wrapText="1"/>
    </xf>
    <xf numFmtId="0" fontId="19" fillId="5" borderId="41" xfId="0" applyFont="1" applyFill="1" applyBorder="1" applyAlignment="1">
      <alignment vertical="center"/>
    </xf>
    <xf numFmtId="0" fontId="14" fillId="5" borderId="0" xfId="11" applyFont="1" applyFill="1"/>
    <xf numFmtId="0" fontId="19" fillId="5" borderId="4" xfId="0" applyFont="1" applyFill="1" applyBorder="1" applyAlignment="1">
      <alignment vertical="top" wrapText="1"/>
    </xf>
    <xf numFmtId="0" fontId="23" fillId="5" borderId="51" xfId="10" applyFont="1" applyFill="1" applyBorder="1" applyAlignment="1">
      <alignment horizontal="center" vertical="center" wrapText="1"/>
    </xf>
    <xf numFmtId="0" fontId="19" fillId="5" borderId="6" xfId="10" applyFont="1" applyFill="1" applyBorder="1" applyAlignment="1">
      <alignment horizontal="left" vertical="center"/>
    </xf>
    <xf numFmtId="0" fontId="19" fillId="5" borderId="6" xfId="0" applyFont="1" applyFill="1" applyBorder="1" applyAlignment="1">
      <alignment horizontal="left" vertical="center"/>
    </xf>
    <xf numFmtId="0" fontId="23" fillId="5" borderId="3" xfId="0" applyFont="1" applyFill="1" applyBorder="1" applyAlignment="1">
      <alignment horizontal="center" vertical="center"/>
    </xf>
    <xf numFmtId="0" fontId="19" fillId="5" borderId="5" xfId="0" applyFont="1" applyFill="1" applyBorder="1" applyAlignment="1">
      <alignment vertical="top" wrapText="1"/>
    </xf>
    <xf numFmtId="0" fontId="19" fillId="5" borderId="4" xfId="10" applyFont="1" applyFill="1" applyBorder="1" applyAlignment="1">
      <alignment horizontal="left" vertical="center"/>
    </xf>
    <xf numFmtId="0" fontId="19" fillId="5" borderId="4" xfId="0" applyFont="1" applyFill="1" applyBorder="1" applyAlignment="1">
      <alignment horizontal="left" vertical="center"/>
    </xf>
    <xf numFmtId="0" fontId="19" fillId="5" borderId="5" xfId="0" applyFont="1" applyFill="1" applyBorder="1" applyAlignment="1">
      <alignment horizontal="left" vertical="top" wrapText="1"/>
    </xf>
    <xf numFmtId="0" fontId="19" fillId="5" borderId="22" xfId="0" applyFont="1" applyFill="1" applyBorder="1"/>
    <xf numFmtId="167" fontId="19" fillId="5" borderId="22" xfId="17" applyNumberFormat="1" applyFont="1" applyFill="1" applyBorder="1"/>
    <xf numFmtId="167" fontId="19" fillId="5" borderId="10" xfId="17" applyNumberFormat="1" applyFont="1" applyFill="1" applyBorder="1"/>
    <xf numFmtId="0" fontId="19" fillId="5" borderId="0" xfId="0" applyFont="1" applyFill="1" applyAlignment="1">
      <alignment horizontal="left" vertical="top"/>
    </xf>
    <xf numFmtId="0" fontId="19" fillId="5" borderId="18" xfId="0" applyFont="1" applyFill="1" applyBorder="1" applyAlignment="1">
      <alignment horizontal="center"/>
    </xf>
    <xf numFmtId="0" fontId="19" fillId="5" borderId="54" xfId="0" applyFont="1" applyFill="1" applyBorder="1" applyAlignment="1">
      <alignment horizontal="center"/>
    </xf>
    <xf numFmtId="0" fontId="1" fillId="5" borderId="3" xfId="0" applyFont="1" applyFill="1" applyBorder="1" applyAlignment="1">
      <alignment horizontal="center"/>
    </xf>
    <xf numFmtId="0" fontId="1" fillId="5" borderId="4" xfId="0" applyFont="1" applyFill="1" applyBorder="1" applyAlignment="1">
      <alignment horizontal="center"/>
    </xf>
    <xf numFmtId="0" fontId="1" fillId="5" borderId="9" xfId="0" applyFont="1" applyFill="1" applyBorder="1"/>
    <xf numFmtId="0" fontId="1" fillId="5" borderId="8" xfId="0" applyFont="1" applyFill="1" applyBorder="1"/>
    <xf numFmtId="167" fontId="23" fillId="5" borderId="0" xfId="17" applyNumberFormat="1" applyFont="1" applyFill="1"/>
    <xf numFmtId="0" fontId="19" fillId="5" borderId="22" xfId="17" applyFont="1" applyFill="1" applyBorder="1" applyAlignment="1">
      <alignment horizontal="left"/>
    </xf>
    <xf numFmtId="0" fontId="23" fillId="5" borderId="0" xfId="17" applyFont="1" applyFill="1"/>
    <xf numFmtId="0" fontId="23" fillId="5" borderId="0" xfId="17" applyFont="1" applyFill="1" applyAlignment="1">
      <alignment horizontal="right"/>
    </xf>
    <xf numFmtId="0" fontId="19" fillId="5" borderId="0" xfId="17" applyFont="1" applyFill="1" applyAlignment="1">
      <alignment horizontal="right"/>
    </xf>
    <xf numFmtId="167" fontId="19" fillId="5" borderId="0" xfId="17" applyNumberFormat="1" applyFont="1" applyFill="1"/>
    <xf numFmtId="0" fontId="23" fillId="5" borderId="0" xfId="17" applyFont="1" applyFill="1" applyAlignment="1">
      <alignment horizontal="left"/>
    </xf>
    <xf numFmtId="0" fontId="19" fillId="5" borderId="24" xfId="17" applyFont="1" applyFill="1" applyBorder="1" applyAlignment="1">
      <alignment horizontal="right"/>
    </xf>
    <xf numFmtId="167" fontId="19" fillId="5" borderId="1" xfId="17" applyNumberFormat="1" applyFont="1" applyFill="1" applyBorder="1"/>
    <xf numFmtId="167" fontId="19" fillId="5" borderId="23" xfId="17" applyNumberFormat="1" applyFont="1" applyFill="1" applyBorder="1"/>
    <xf numFmtId="0" fontId="19" fillId="5" borderId="22" xfId="11" applyFont="1" applyFill="1" applyBorder="1"/>
    <xf numFmtId="0" fontId="23" fillId="5" borderId="22" xfId="17" applyFont="1" applyFill="1" applyBorder="1"/>
    <xf numFmtId="167" fontId="23" fillId="5" borderId="22" xfId="17" applyNumberFormat="1" applyFont="1" applyFill="1" applyBorder="1"/>
    <xf numFmtId="0" fontId="4" fillId="5" borderId="0" xfId="17" applyFont="1" applyFill="1"/>
    <xf numFmtId="0" fontId="4" fillId="5" borderId="0" xfId="17" applyFont="1" applyFill="1" applyAlignment="1">
      <alignment horizontal="left"/>
    </xf>
    <xf numFmtId="0" fontId="4" fillId="5" borderId="24" xfId="17" applyFont="1" applyFill="1" applyBorder="1" applyAlignment="1">
      <alignment horizontal="left"/>
    </xf>
    <xf numFmtId="0" fontId="19" fillId="5" borderId="24" xfId="17" applyFont="1" applyFill="1" applyBorder="1" applyAlignment="1">
      <alignment vertical="top" wrapText="1"/>
    </xf>
    <xf numFmtId="167" fontId="23" fillId="5" borderId="9" xfId="17" applyNumberFormat="1" applyFont="1" applyFill="1" applyBorder="1" applyAlignment="1">
      <alignment horizontal="left"/>
    </xf>
    <xf numFmtId="0" fontId="23" fillId="5" borderId="24" xfId="17" applyFont="1" applyFill="1" applyBorder="1"/>
    <xf numFmtId="0" fontId="23" fillId="5" borderId="24" xfId="17" applyFont="1" applyFill="1" applyBorder="1" applyAlignment="1">
      <alignment horizontal="left"/>
    </xf>
    <xf numFmtId="0" fontId="19" fillId="5" borderId="0" xfId="11" applyFont="1" applyFill="1" applyAlignment="1">
      <alignment wrapText="1"/>
    </xf>
    <xf numFmtId="0" fontId="19" fillId="5" borderId="1" xfId="0" applyFont="1" applyFill="1" applyBorder="1" applyAlignment="1">
      <alignment vertical="top"/>
    </xf>
    <xf numFmtId="0" fontId="1" fillId="5" borderId="0" xfId="17" applyFont="1" applyFill="1" applyAlignment="1">
      <alignment horizontal="left"/>
    </xf>
    <xf numFmtId="0" fontId="1" fillId="5" borderId="0" xfId="17" applyFont="1" applyFill="1"/>
    <xf numFmtId="0" fontId="1" fillId="5" borderId="24" xfId="17" applyFont="1" applyFill="1" applyBorder="1"/>
    <xf numFmtId="0" fontId="1" fillId="5" borderId="2" xfId="17" applyFont="1" applyFill="1" applyBorder="1"/>
    <xf numFmtId="0" fontId="13" fillId="5" borderId="0" xfId="17" applyFont="1" applyFill="1"/>
    <xf numFmtId="167" fontId="23" fillId="5" borderId="16" xfId="17" applyNumberFormat="1" applyFont="1" applyFill="1" applyBorder="1" applyAlignment="1">
      <alignment horizontal="left"/>
    </xf>
    <xf numFmtId="0" fontId="23" fillId="5" borderId="35" xfId="17" applyFont="1" applyFill="1" applyBorder="1"/>
    <xf numFmtId="0" fontId="19" fillId="5" borderId="5" xfId="17" applyFont="1" applyFill="1" applyBorder="1" applyAlignment="1">
      <alignment vertical="top" wrapText="1"/>
    </xf>
    <xf numFmtId="0" fontId="19" fillId="5" borderId="14" xfId="17" applyFont="1" applyFill="1" applyBorder="1" applyAlignment="1">
      <alignment horizontal="center"/>
    </xf>
    <xf numFmtId="0" fontId="23" fillId="5" borderId="36" xfId="17" applyFont="1" applyFill="1" applyBorder="1" applyAlignment="1">
      <alignment horizontal="center"/>
    </xf>
    <xf numFmtId="0" fontId="23" fillId="5" borderId="37" xfId="17" applyFont="1" applyFill="1" applyBorder="1" applyAlignment="1">
      <alignment horizontal="center"/>
    </xf>
    <xf numFmtId="0" fontId="19" fillId="5" borderId="36" xfId="0" applyFont="1" applyFill="1" applyBorder="1" applyAlignment="1">
      <alignment horizontal="center"/>
    </xf>
    <xf numFmtId="0" fontId="23" fillId="5" borderId="37" xfId="0" applyFont="1" applyFill="1" applyBorder="1" applyAlignment="1">
      <alignment horizontal="center" vertical="top" wrapText="1"/>
    </xf>
    <xf numFmtId="0" fontId="23" fillId="5" borderId="36" xfId="0" applyFont="1" applyFill="1" applyBorder="1" applyAlignment="1">
      <alignment horizontal="center" vertical="top" wrapText="1"/>
    </xf>
    <xf numFmtId="0" fontId="19" fillId="5" borderId="67" xfId="17" applyFont="1" applyFill="1" applyBorder="1"/>
    <xf numFmtId="0" fontId="19" fillId="5" borderId="66" xfId="17" applyFont="1" applyFill="1" applyBorder="1"/>
    <xf numFmtId="0" fontId="19" fillId="5" borderId="36" xfId="0" applyFont="1" applyFill="1" applyBorder="1" applyAlignment="1">
      <alignment horizontal="left"/>
    </xf>
    <xf numFmtId="0" fontId="19" fillId="5" borderId="36" xfId="0" applyFont="1" applyFill="1" applyBorder="1" applyAlignment="1">
      <alignment horizontal="left" wrapText="1"/>
    </xf>
    <xf numFmtId="0" fontId="19" fillId="5" borderId="12" xfId="0" applyFont="1" applyFill="1" applyBorder="1"/>
    <xf numFmtId="167" fontId="23" fillId="5" borderId="0" xfId="17" applyNumberFormat="1" applyFont="1" applyFill="1" applyAlignment="1">
      <alignment vertical="top"/>
    </xf>
    <xf numFmtId="0" fontId="19" fillId="5" borderId="24" xfId="0" applyFont="1" applyFill="1" applyBorder="1" applyAlignment="1">
      <alignment vertical="top" wrapText="1"/>
    </xf>
    <xf numFmtId="0" fontId="19" fillId="5" borderId="12" xfId="0" applyFont="1" applyFill="1" applyBorder="1" applyAlignment="1">
      <alignment vertical="top" wrapText="1"/>
    </xf>
    <xf numFmtId="0" fontId="35" fillId="5" borderId="0" xfId="0" applyFont="1" applyFill="1" applyAlignment="1">
      <alignment horizontal="center" vertical="center" wrapText="1"/>
    </xf>
    <xf numFmtId="0" fontId="35" fillId="5" borderId="0" xfId="0" applyFont="1" applyFill="1" applyAlignment="1">
      <alignment vertical="top" wrapText="1"/>
    </xf>
    <xf numFmtId="0" fontId="35" fillId="5" borderId="0" xfId="0" applyFont="1" applyFill="1" applyAlignment="1">
      <alignment horizontal="left" vertical="top" wrapText="1"/>
    </xf>
    <xf numFmtId="0" fontId="1" fillId="5" borderId="0" xfId="0" applyFont="1" applyFill="1" applyAlignment="1">
      <alignment horizontal="center" vertical="center"/>
    </xf>
    <xf numFmtId="0" fontId="12" fillId="5" borderId="0" xfId="0" applyFont="1" applyFill="1"/>
    <xf numFmtId="0" fontId="19" fillId="5" borderId="10" xfId="0" applyFont="1" applyFill="1" applyBorder="1" applyAlignment="1">
      <alignment wrapText="1"/>
    </xf>
    <xf numFmtId="0" fontId="19" fillId="5" borderId="23" xfId="0" applyFont="1" applyFill="1" applyBorder="1"/>
    <xf numFmtId="0" fontId="19" fillId="5" borderId="24" xfId="0" applyFont="1" applyFill="1" applyBorder="1"/>
    <xf numFmtId="0" fontId="34" fillId="5" borderId="0" xfId="0" applyFont="1" applyFill="1"/>
    <xf numFmtId="1" fontId="7" fillId="0" borderId="0" xfId="6" applyNumberFormat="1" applyFont="1" applyFill="1" applyBorder="1" applyAlignment="1">
      <alignment horizontal="left" vertical="center"/>
    </xf>
    <xf numFmtId="0" fontId="1" fillId="5" borderId="4" xfId="17" applyFont="1" applyFill="1" applyBorder="1"/>
    <xf numFmtId="0" fontId="14" fillId="5" borderId="4" xfId="17" applyFont="1" applyFill="1" applyBorder="1"/>
    <xf numFmtId="0" fontId="19" fillId="5" borderId="0" xfId="0" applyFont="1" applyFill="1" applyAlignment="1">
      <alignment horizontal="center"/>
    </xf>
    <xf numFmtId="0" fontId="2" fillId="5" borderId="0" xfId="0" applyFont="1" applyFill="1"/>
    <xf numFmtId="0" fontId="3" fillId="5" borderId="0" xfId="0" applyFont="1" applyFill="1"/>
    <xf numFmtId="0" fontId="3" fillId="5" borderId="0" xfId="0" applyFont="1" applyFill="1" applyAlignment="1">
      <alignment horizontal="left" vertical="top"/>
    </xf>
    <xf numFmtId="0" fontId="2" fillId="5" borderId="0" xfId="0" applyFont="1" applyFill="1" applyAlignment="1">
      <alignment horizontal="left" vertical="top"/>
    </xf>
    <xf numFmtId="0" fontId="2" fillId="5" borderId="0" xfId="19" applyFont="1" applyFill="1"/>
    <xf numFmtId="0" fontId="2" fillId="5" borderId="0" xfId="0" applyFont="1" applyFill="1" applyAlignment="1">
      <alignment horizontal="center"/>
    </xf>
    <xf numFmtId="0" fontId="2" fillId="5" borderId="3" xfId="19" applyFont="1" applyFill="1" applyBorder="1"/>
    <xf numFmtId="0" fontId="0" fillId="5" borderId="4" xfId="0" applyFill="1" applyBorder="1"/>
    <xf numFmtId="0" fontId="19" fillId="0" borderId="3" xfId="0" applyFont="1" applyBorder="1" applyAlignment="1">
      <alignment vertical="top" wrapText="1"/>
    </xf>
    <xf numFmtId="0" fontId="20" fillId="0" borderId="0" xfId="0" applyFont="1"/>
    <xf numFmtId="0" fontId="19" fillId="5" borderId="1" xfId="17" applyFont="1" applyFill="1" applyBorder="1" applyAlignment="1">
      <alignment horizontal="left" wrapText="1"/>
    </xf>
    <xf numFmtId="0" fontId="20" fillId="5" borderId="1" xfId="0" applyFont="1" applyFill="1" applyBorder="1" applyAlignment="1">
      <alignment wrapText="1"/>
    </xf>
    <xf numFmtId="0" fontId="20" fillId="5" borderId="0" xfId="0" applyFont="1" applyFill="1" applyAlignment="1">
      <alignment wrapText="1"/>
    </xf>
    <xf numFmtId="0" fontId="26" fillId="5" borderId="2" xfId="0" applyFont="1" applyFill="1" applyBorder="1" applyAlignment="1">
      <alignment horizontal="center" vertical="top" wrapText="1"/>
    </xf>
    <xf numFmtId="1" fontId="19" fillId="5" borderId="1" xfId="3" applyNumberFormat="1" applyFont="1" applyFill="1" applyBorder="1" applyAlignment="1">
      <alignment horizontal="left" vertical="top" wrapText="1"/>
    </xf>
    <xf numFmtId="1" fontId="19" fillId="5" borderId="2" xfId="3" applyNumberFormat="1" applyFont="1" applyFill="1" applyBorder="1" applyAlignment="1">
      <alignment horizontal="left" vertical="top" wrapText="1"/>
    </xf>
    <xf numFmtId="0" fontId="1" fillId="2" borderId="1" xfId="17" applyFont="1" applyFill="1" applyBorder="1"/>
    <xf numFmtId="0" fontId="4" fillId="2" borderId="1" xfId="17" applyFont="1" applyFill="1" applyBorder="1"/>
    <xf numFmtId="0" fontId="19" fillId="0" borderId="24" xfId="17" applyFont="1" applyBorder="1" applyAlignment="1">
      <alignment vertical="top" wrapText="1"/>
    </xf>
    <xf numFmtId="0" fontId="19" fillId="0" borderId="1" xfId="17" applyFont="1" applyBorder="1"/>
    <xf numFmtId="0" fontId="19" fillId="0" borderId="23" xfId="17" applyFont="1" applyBorder="1" applyAlignment="1">
      <alignment vertical="top" wrapText="1"/>
    </xf>
    <xf numFmtId="0" fontId="7" fillId="0" borderId="0" xfId="11" applyFont="1"/>
    <xf numFmtId="0" fontId="15" fillId="0" borderId="0" xfId="11" applyFont="1" applyAlignment="1">
      <alignment horizontal="right"/>
    </xf>
    <xf numFmtId="0" fontId="7" fillId="2" borderId="0" xfId="17" applyFont="1" applyFill="1" applyAlignment="1">
      <alignment horizontal="left"/>
    </xf>
    <xf numFmtId="0" fontId="12" fillId="0" borderId="0" xfId="17" applyFont="1" applyAlignment="1">
      <alignment horizontal="center"/>
    </xf>
    <xf numFmtId="0" fontId="19" fillId="0" borderId="56" xfId="17" applyFont="1" applyBorder="1" applyAlignment="1">
      <alignment vertical="center"/>
    </xf>
    <xf numFmtId="0" fontId="19" fillId="0" borderId="57" xfId="17" applyFont="1" applyBorder="1" applyAlignment="1">
      <alignment vertical="center"/>
    </xf>
    <xf numFmtId="0" fontId="19" fillId="0" borderId="31" xfId="17" applyFont="1" applyBorder="1" applyAlignment="1">
      <alignment vertical="center"/>
    </xf>
    <xf numFmtId="0" fontId="19" fillId="0" borderId="26" xfId="0" applyFont="1" applyBorder="1"/>
    <xf numFmtId="0" fontId="19" fillId="0" borderId="28" xfId="0" applyFont="1" applyBorder="1"/>
    <xf numFmtId="0" fontId="8" fillId="2" borderId="0" xfId="17" applyFont="1" applyFill="1"/>
    <xf numFmtId="0" fontId="19" fillId="0" borderId="37" xfId="17" applyFont="1" applyBorder="1" applyAlignment="1">
      <alignment horizontal="center" vertical="top"/>
    </xf>
    <xf numFmtId="0" fontId="19" fillId="0" borderId="4" xfId="17" applyFont="1" applyBorder="1" applyAlignment="1">
      <alignment horizontal="center" vertical="top"/>
    </xf>
    <xf numFmtId="0" fontId="11" fillId="2" borderId="7" xfId="17" applyFont="1" applyFill="1" applyBorder="1" applyAlignment="1">
      <alignment vertical="center"/>
    </xf>
    <xf numFmtId="0" fontId="11" fillId="2" borderId="12" xfId="17" applyFont="1" applyFill="1" applyBorder="1" applyAlignment="1">
      <alignment vertical="center"/>
    </xf>
    <xf numFmtId="0" fontId="11" fillId="2" borderId="5" xfId="17" applyFont="1" applyFill="1" applyBorder="1" applyAlignment="1">
      <alignment vertical="center"/>
    </xf>
    <xf numFmtId="0" fontId="11" fillId="2" borderId="10" xfId="17" applyFont="1" applyFill="1" applyBorder="1" applyAlignment="1">
      <alignment vertical="center"/>
    </xf>
    <xf numFmtId="0" fontId="11" fillId="0" borderId="11" xfId="17" applyFont="1" applyBorder="1" applyAlignment="1">
      <alignment vertical="center"/>
    </xf>
    <xf numFmtId="0" fontId="11" fillId="0" borderId="7" xfId="17" applyFont="1" applyBorder="1" applyAlignment="1">
      <alignment vertical="center"/>
    </xf>
    <xf numFmtId="166" fontId="23" fillId="0" borderId="11" xfId="15" applyNumberFormat="1" applyFont="1" applyBorder="1" applyAlignment="1">
      <alignment horizontal="center" vertical="center"/>
    </xf>
    <xf numFmtId="0" fontId="11" fillId="0" borderId="5" xfId="17" applyFont="1" applyBorder="1" applyAlignment="1">
      <alignment vertical="center"/>
    </xf>
    <xf numFmtId="0" fontId="11" fillId="0" borderId="4" xfId="17" applyFont="1" applyBorder="1" applyAlignment="1">
      <alignment vertical="center"/>
    </xf>
    <xf numFmtId="166" fontId="23" fillId="0" borderId="5" xfId="15" applyNumberFormat="1" applyFont="1" applyBorder="1" applyAlignment="1">
      <alignment horizontal="center" vertical="center"/>
    </xf>
    <xf numFmtId="0" fontId="11" fillId="0" borderId="10" xfId="17" applyFont="1" applyBorder="1" applyAlignment="1">
      <alignment vertical="center"/>
    </xf>
    <xf numFmtId="0" fontId="11" fillId="0" borderId="8" xfId="17" applyFont="1" applyBorder="1" applyAlignment="1">
      <alignment vertical="center"/>
    </xf>
    <xf numFmtId="166" fontId="23" fillId="0" borderId="10" xfId="15" applyNumberFormat="1" applyFont="1" applyBorder="1" applyAlignment="1">
      <alignment horizontal="center" vertical="center"/>
    </xf>
    <xf numFmtId="0" fontId="19" fillId="5" borderId="9" xfId="17" applyFont="1" applyFill="1" applyBorder="1" applyAlignment="1">
      <alignment horizontal="center" vertical="top"/>
    </xf>
    <xf numFmtId="0" fontId="19" fillId="5" borderId="8" xfId="17" applyFont="1" applyFill="1" applyBorder="1" applyAlignment="1">
      <alignment horizontal="center" vertical="top"/>
    </xf>
    <xf numFmtId="0" fontId="20" fillId="5" borderId="1" xfId="0" applyFont="1" applyFill="1" applyBorder="1" applyAlignment="1">
      <alignment vertical="top"/>
    </xf>
    <xf numFmtId="0" fontId="19" fillId="5" borderId="1" xfId="10" applyFont="1" applyFill="1" applyBorder="1" applyAlignment="1">
      <alignment horizontal="center" textRotation="90" wrapText="1"/>
    </xf>
    <xf numFmtId="0" fontId="19" fillId="5" borderId="0" xfId="10" applyFont="1" applyFill="1" applyAlignment="1">
      <alignment horizontal="center" textRotation="90" wrapText="1"/>
    </xf>
    <xf numFmtId="0" fontId="19" fillId="5" borderId="2" xfId="10" applyFont="1" applyFill="1" applyBorder="1" applyAlignment="1">
      <alignment horizontal="center" textRotation="90" wrapText="1"/>
    </xf>
    <xf numFmtId="0" fontId="19" fillId="0" borderId="4" xfId="17" applyFont="1" applyBorder="1" applyAlignment="1">
      <alignment vertical="top" wrapText="1"/>
    </xf>
    <xf numFmtId="0" fontId="19" fillId="0" borderId="4" xfId="17" applyFont="1" applyBorder="1" applyAlignment="1">
      <alignment horizontal="center" vertical="top" wrapText="1"/>
    </xf>
    <xf numFmtId="0" fontId="19" fillId="0" borderId="4" xfId="17" applyFont="1" applyBorder="1" applyAlignment="1">
      <alignment vertical="center" wrapText="1"/>
    </xf>
    <xf numFmtId="0" fontId="23" fillId="0" borderId="4" xfId="17" applyFont="1" applyBorder="1" applyAlignment="1">
      <alignment horizontal="center" vertical="center" textRotation="90" wrapText="1"/>
    </xf>
    <xf numFmtId="166" fontId="23" fillId="0" borderId="39" xfId="15" applyNumberFormat="1" applyFont="1" applyBorder="1" applyAlignment="1">
      <alignment horizontal="center" vertical="center"/>
    </xf>
    <xf numFmtId="166" fontId="23" fillId="0" borderId="37" xfId="15" applyNumberFormat="1" applyFont="1" applyBorder="1" applyAlignment="1">
      <alignment horizontal="center" vertical="center"/>
    </xf>
    <xf numFmtId="166" fontId="23" fillId="0" borderId="9" xfId="15" applyNumberFormat="1" applyFont="1" applyBorder="1" applyAlignment="1">
      <alignment horizontal="center" vertical="center"/>
    </xf>
    <xf numFmtId="0" fontId="7" fillId="0" borderId="0" xfId="17" applyFont="1" applyAlignment="1">
      <alignment horizontal="center" vertical="center" wrapText="1"/>
    </xf>
    <xf numFmtId="0" fontId="8" fillId="0" borderId="0" xfId="17" applyFont="1" applyAlignment="1">
      <alignment wrapText="1"/>
    </xf>
    <xf numFmtId="0" fontId="12" fillId="0" borderId="0" xfId="17" applyFont="1" applyAlignment="1">
      <alignment horizontal="center" vertical="center" wrapText="1"/>
    </xf>
    <xf numFmtId="0" fontId="15" fillId="0" borderId="0" xfId="17" applyFont="1" applyAlignment="1">
      <alignment wrapText="1"/>
    </xf>
    <xf numFmtId="0" fontId="11" fillId="0" borderId="7" xfId="17" applyFont="1" applyBorder="1" applyAlignment="1">
      <alignment wrapText="1"/>
    </xf>
    <xf numFmtId="0" fontId="1" fillId="0" borderId="12" xfId="0" applyFont="1" applyBorder="1" applyAlignment="1">
      <alignment wrapText="1"/>
    </xf>
    <xf numFmtId="0" fontId="11" fillId="0" borderId="4" xfId="17" applyFont="1" applyBorder="1" applyAlignment="1">
      <alignment wrapText="1"/>
    </xf>
    <xf numFmtId="0" fontId="1" fillId="0" borderId="5" xfId="0" applyFont="1" applyBorder="1" applyAlignment="1">
      <alignment wrapText="1"/>
    </xf>
    <xf numFmtId="0" fontId="11" fillId="0" borderId="8" xfId="17" applyFont="1" applyBorder="1" applyAlignment="1">
      <alignment wrapText="1"/>
    </xf>
    <xf numFmtId="0" fontId="1" fillId="0" borderId="10" xfId="0" applyFont="1" applyBorder="1" applyAlignment="1">
      <alignment wrapText="1"/>
    </xf>
    <xf numFmtId="0" fontId="11" fillId="0" borderId="6" xfId="17" applyFont="1" applyBorder="1" applyAlignment="1">
      <alignment wrapText="1"/>
    </xf>
    <xf numFmtId="0" fontId="11" fillId="0" borderId="11" xfId="17" applyFont="1" applyBorder="1" applyAlignment="1">
      <alignment wrapText="1"/>
    </xf>
    <xf numFmtId="0" fontId="11" fillId="0" borderId="5" xfId="17" applyFont="1" applyBorder="1" applyAlignment="1">
      <alignment wrapText="1"/>
    </xf>
    <xf numFmtId="0" fontId="1" fillId="0" borderId="18" xfId="0" applyFont="1" applyBorder="1" applyAlignment="1">
      <alignment wrapText="1"/>
    </xf>
    <xf numFmtId="0" fontId="11" fillId="0" borderId="18" xfId="17" applyFont="1" applyBorder="1" applyAlignment="1">
      <alignment wrapText="1"/>
    </xf>
    <xf numFmtId="0" fontId="11" fillId="0" borderId="12" xfId="17" applyFont="1" applyBorder="1" applyAlignment="1">
      <alignment wrapText="1"/>
    </xf>
    <xf numFmtId="0" fontId="2" fillId="0" borderId="0" xfId="0" applyFont="1" applyAlignment="1">
      <alignment wrapText="1"/>
    </xf>
    <xf numFmtId="167" fontId="23" fillId="0" borderId="8" xfId="17" applyNumberFormat="1" applyFont="1" applyBorder="1" applyAlignment="1">
      <alignment horizontal="left" vertical="top" wrapText="1"/>
    </xf>
    <xf numFmtId="167" fontId="23" fillId="0" borderId="9" xfId="17" applyNumberFormat="1" applyFont="1" applyBorder="1" applyAlignment="1">
      <alignment horizontal="left" vertical="top" wrapText="1"/>
    </xf>
    <xf numFmtId="0" fontId="20" fillId="0" borderId="103" xfId="0" applyFont="1" applyBorder="1" applyAlignment="1">
      <alignment wrapText="1"/>
    </xf>
    <xf numFmtId="167" fontId="23" fillId="0" borderId="10" xfId="17" applyNumberFormat="1" applyFont="1" applyBorder="1" applyAlignment="1">
      <alignment horizontal="left" vertical="top" wrapText="1"/>
    </xf>
    <xf numFmtId="0" fontId="20" fillId="0" borderId="10" xfId="0" applyFont="1" applyBorder="1" applyAlignment="1">
      <alignment wrapText="1"/>
    </xf>
    <xf numFmtId="0" fontId="11" fillId="0" borderId="39" xfId="17" applyFont="1" applyBorder="1" applyAlignment="1">
      <alignment wrapText="1"/>
    </xf>
    <xf numFmtId="0" fontId="11" fillId="0" borderId="37" xfId="17" applyFont="1" applyBorder="1" applyAlignment="1">
      <alignment wrapText="1"/>
    </xf>
    <xf numFmtId="0" fontId="11" fillId="0" borderId="10" xfId="17" applyFont="1" applyBorder="1" applyAlignment="1">
      <alignment wrapText="1"/>
    </xf>
    <xf numFmtId="0" fontId="11" fillId="0" borderId="9" xfId="17" applyFont="1" applyBorder="1" applyAlignment="1">
      <alignment wrapText="1"/>
    </xf>
    <xf numFmtId="0" fontId="11" fillId="0" borderId="23" xfId="17" applyFont="1" applyBorder="1" applyAlignment="1">
      <alignment wrapText="1"/>
    </xf>
    <xf numFmtId="0" fontId="11" fillId="0" borderId="3" xfId="17" applyFont="1" applyBorder="1" applyAlignment="1">
      <alignment wrapText="1"/>
    </xf>
    <xf numFmtId="0" fontId="11" fillId="0" borderId="2" xfId="17" applyFont="1" applyBorder="1" applyAlignment="1">
      <alignment wrapText="1"/>
    </xf>
    <xf numFmtId="0" fontId="11" fillId="0" borderId="1" xfId="17" applyFont="1" applyBorder="1" applyAlignment="1">
      <alignment wrapText="1"/>
    </xf>
    <xf numFmtId="0" fontId="23" fillId="5" borderId="45" xfId="16" applyFont="1" applyFill="1" applyBorder="1" applyAlignment="1">
      <alignment horizontal="center" vertical="center" wrapText="1"/>
    </xf>
    <xf numFmtId="0" fontId="23" fillId="5" borderId="7" xfId="16" applyFont="1" applyFill="1" applyBorder="1" applyAlignment="1">
      <alignment horizontal="center" vertical="center" wrapText="1"/>
    </xf>
    <xf numFmtId="0" fontId="1" fillId="0" borderId="11" xfId="0" applyFont="1" applyBorder="1" applyAlignment="1">
      <alignment wrapText="1"/>
    </xf>
    <xf numFmtId="0" fontId="1" fillId="0" borderId="2" xfId="0" applyFont="1" applyBorder="1" applyAlignment="1">
      <alignment wrapText="1"/>
    </xf>
    <xf numFmtId="0" fontId="23" fillId="5" borderId="1" xfId="16" applyFont="1" applyFill="1" applyBorder="1" applyAlignment="1">
      <alignment horizontal="center" vertical="center" wrapText="1"/>
    </xf>
    <xf numFmtId="0" fontId="19" fillId="0" borderId="0" xfId="0" quotePrefix="1" applyFont="1" applyAlignment="1">
      <alignment vertical="top" wrapText="1"/>
    </xf>
    <xf numFmtId="0" fontId="19" fillId="0" borderId="2" xfId="0" quotePrefix="1" applyFont="1" applyBorder="1" applyAlignment="1">
      <alignment vertical="top" wrapText="1"/>
    </xf>
    <xf numFmtId="0" fontId="2" fillId="0" borderId="0" xfId="0" applyFont="1" applyAlignment="1">
      <alignment horizontal="left"/>
    </xf>
    <xf numFmtId="0" fontId="1" fillId="0" borderId="3" xfId="0" applyFont="1" applyBorder="1"/>
    <xf numFmtId="0" fontId="19" fillId="0" borderId="3" xfId="17" applyFont="1" applyBorder="1"/>
    <xf numFmtId="0" fontId="19" fillId="0" borderId="6" xfId="17" applyFont="1" applyBorder="1"/>
    <xf numFmtId="0" fontId="1" fillId="0" borderId="0" xfId="0" applyFont="1"/>
    <xf numFmtId="0" fontId="1" fillId="0" borderId="4" xfId="0" applyFont="1" applyBorder="1"/>
    <xf numFmtId="167" fontId="23" fillId="5" borderId="0" xfId="17" applyNumberFormat="1" applyFont="1" applyFill="1" applyAlignment="1">
      <alignment horizontal="center" wrapText="1"/>
    </xf>
    <xf numFmtId="0" fontId="39" fillId="5" borderId="0" xfId="0" applyFont="1" applyFill="1"/>
    <xf numFmtId="0" fontId="45" fillId="5" borderId="0" xfId="0" quotePrefix="1" applyFont="1" applyFill="1" applyAlignment="1">
      <alignment vertical="top" wrapText="1"/>
    </xf>
    <xf numFmtId="0" fontId="8" fillId="5" borderId="2" xfId="17" applyFont="1" applyFill="1" applyBorder="1"/>
    <xf numFmtId="0" fontId="8" fillId="5" borderId="23" xfId="17" applyFont="1" applyFill="1" applyBorder="1"/>
    <xf numFmtId="0" fontId="8" fillId="5" borderId="12" xfId="17" applyFont="1" applyFill="1" applyBorder="1"/>
    <xf numFmtId="0" fontId="23" fillId="0" borderId="22" xfId="17" applyFont="1" applyBorder="1" applyAlignment="1">
      <alignment wrapText="1"/>
    </xf>
    <xf numFmtId="0" fontId="26" fillId="0" borderId="0" xfId="0" applyFont="1" applyAlignment="1">
      <alignment vertical="top" wrapText="1"/>
    </xf>
    <xf numFmtId="0" fontId="19" fillId="0" borderId="4" xfId="0" applyFont="1" applyBorder="1" applyAlignment="1">
      <alignment horizontal="center" vertical="top" wrapText="1"/>
    </xf>
    <xf numFmtId="0" fontId="19" fillId="0" borderId="7" xfId="17" applyFont="1" applyBorder="1"/>
    <xf numFmtId="0" fontId="19" fillId="0" borderId="8" xfId="17" applyFont="1" applyBorder="1"/>
    <xf numFmtId="0" fontId="19" fillId="0" borderId="4" xfId="17" applyFont="1" applyBorder="1"/>
    <xf numFmtId="0" fontId="19" fillId="0" borderId="18" xfId="17" applyFont="1" applyBorder="1"/>
    <xf numFmtId="0" fontId="8" fillId="0" borderId="0" xfId="17" applyFont="1"/>
    <xf numFmtId="0" fontId="23" fillId="0" borderId="10" xfId="17" applyFont="1" applyBorder="1" applyAlignment="1">
      <alignment wrapText="1"/>
    </xf>
    <xf numFmtId="0" fontId="26" fillId="0" borderId="2" xfId="0" applyFont="1" applyBorder="1" applyAlignment="1">
      <alignment vertical="top" wrapText="1"/>
    </xf>
    <xf numFmtId="0" fontId="8" fillId="0" borderId="4" xfId="17" applyFont="1" applyBorder="1"/>
    <xf numFmtId="0" fontId="8" fillId="0" borderId="6" xfId="17" applyFont="1" applyBorder="1"/>
    <xf numFmtId="0" fontId="8" fillId="0" borderId="52" xfId="17" applyFont="1" applyBorder="1"/>
    <xf numFmtId="0" fontId="8" fillId="0" borderId="2" xfId="17" applyFont="1" applyBorder="1"/>
    <xf numFmtId="0" fontId="8" fillId="0" borderId="5" xfId="17" applyFont="1" applyBorder="1"/>
    <xf numFmtId="0" fontId="8" fillId="0" borderId="18" xfId="17" applyFont="1" applyBorder="1"/>
    <xf numFmtId="0" fontId="19" fillId="0" borderId="11" xfId="17" applyFont="1" applyBorder="1"/>
    <xf numFmtId="0" fontId="19" fillId="0" borderId="10" xfId="17" applyFont="1" applyBorder="1"/>
    <xf numFmtId="0" fontId="19" fillId="0" borderId="5" xfId="17" applyFont="1" applyBorder="1"/>
    <xf numFmtId="0" fontId="19" fillId="0" borderId="45" xfId="17" applyFont="1" applyBorder="1"/>
    <xf numFmtId="0" fontId="45" fillId="5" borderId="3" xfId="0" applyFont="1" applyFill="1" applyBorder="1" applyAlignment="1">
      <alignment vertical="top" wrapText="1"/>
    </xf>
    <xf numFmtId="0" fontId="45" fillId="5" borderId="3" xfId="17" applyFont="1" applyFill="1" applyBorder="1"/>
    <xf numFmtId="0" fontId="23" fillId="0" borderId="110" xfId="17" applyFont="1" applyBorder="1" applyAlignment="1">
      <alignment horizontal="center" vertical="center" wrapText="1"/>
    </xf>
    <xf numFmtId="0" fontId="46" fillId="5" borderId="3" xfId="0" applyFont="1" applyFill="1" applyBorder="1" applyAlignment="1">
      <alignment wrapText="1"/>
    </xf>
    <xf numFmtId="0" fontId="8" fillId="0" borderId="3" xfId="17" applyFont="1" applyBorder="1"/>
    <xf numFmtId="0" fontId="48" fillId="5" borderId="3" xfId="17" applyFont="1" applyFill="1" applyBorder="1"/>
    <xf numFmtId="0" fontId="15" fillId="0" borderId="0" xfId="17" applyFont="1"/>
    <xf numFmtId="0" fontId="12" fillId="0" borderId="0" xfId="17" applyFont="1"/>
    <xf numFmtId="167" fontId="23" fillId="0" borderId="8" xfId="17" applyNumberFormat="1" applyFont="1" applyBorder="1" applyAlignment="1">
      <alignment horizontal="left" wrapText="1"/>
    </xf>
    <xf numFmtId="0" fontId="19" fillId="0" borderId="3" xfId="0" applyFont="1" applyBorder="1" applyAlignment="1">
      <alignment horizontal="left" vertical="top" wrapText="1"/>
    </xf>
    <xf numFmtId="0" fontId="23" fillId="0" borderId="9" xfId="17" applyFont="1" applyBorder="1" applyAlignment="1">
      <alignment horizontal="center"/>
    </xf>
    <xf numFmtId="0" fontId="23" fillId="0" borderId="18" xfId="17" applyFont="1" applyBorder="1" applyAlignment="1">
      <alignment horizontal="center"/>
    </xf>
    <xf numFmtId="0" fontId="19" fillId="0" borderId="12" xfId="17" applyFont="1" applyBorder="1"/>
    <xf numFmtId="0" fontId="19" fillId="0" borderId="24" xfId="17" applyFont="1" applyBorder="1"/>
    <xf numFmtId="0" fontId="19" fillId="0" borderId="0" xfId="17" applyFont="1" applyAlignment="1">
      <alignment vertical="center"/>
    </xf>
    <xf numFmtId="0" fontId="23" fillId="0" borderId="0" xfId="17" applyFont="1" applyAlignment="1">
      <alignment vertical="center"/>
    </xf>
    <xf numFmtId="0" fontId="20" fillId="0" borderId="0" xfId="17" applyFont="1"/>
    <xf numFmtId="0" fontId="19" fillId="3" borderId="70" xfId="17" applyFont="1" applyFill="1" applyBorder="1"/>
    <xf numFmtId="0" fontId="19" fillId="3" borderId="9" xfId="17" applyFont="1" applyFill="1" applyBorder="1"/>
    <xf numFmtId="0" fontId="19" fillId="3" borderId="37" xfId="17" applyFont="1" applyFill="1" applyBorder="1"/>
    <xf numFmtId="0" fontId="19" fillId="3" borderId="1" xfId="17" applyFont="1" applyFill="1" applyBorder="1"/>
    <xf numFmtId="0" fontId="15" fillId="0" borderId="0" xfId="17" applyFont="1" applyAlignment="1">
      <alignment vertical="center"/>
    </xf>
    <xf numFmtId="0" fontId="12" fillId="0" borderId="0" xfId="17" applyFont="1" applyAlignment="1">
      <alignment vertical="center"/>
    </xf>
    <xf numFmtId="0" fontId="15" fillId="2" borderId="12" xfId="17" applyFont="1" applyFill="1" applyBorder="1"/>
    <xf numFmtId="0" fontId="15" fillId="2" borderId="6" xfId="17" applyFont="1" applyFill="1" applyBorder="1"/>
    <xf numFmtId="0" fontId="15" fillId="2" borderId="5" xfId="17" applyFont="1" applyFill="1" applyBorder="1"/>
    <xf numFmtId="0" fontId="15" fillId="2" borderId="4" xfId="17" applyFont="1" applyFill="1" applyBorder="1"/>
    <xf numFmtId="0" fontId="8" fillId="2" borderId="3" xfId="17" applyFont="1" applyFill="1" applyBorder="1"/>
    <xf numFmtId="0" fontId="2" fillId="0" borderId="0" xfId="17" applyAlignment="1">
      <alignment vertical="center"/>
    </xf>
    <xf numFmtId="0" fontId="15" fillId="3" borderId="3" xfId="17" applyFont="1" applyFill="1" applyBorder="1"/>
    <xf numFmtId="0" fontId="15" fillId="3" borderId="8" xfId="17" applyFont="1" applyFill="1" applyBorder="1"/>
    <xf numFmtId="0" fontId="15" fillId="3" borderId="4" xfId="17" applyFont="1" applyFill="1" applyBorder="1"/>
    <xf numFmtId="0" fontId="11" fillId="0" borderId="0" xfId="17" applyFont="1" applyAlignment="1">
      <alignment horizontal="left" vertical="center"/>
    </xf>
    <xf numFmtId="167" fontId="2" fillId="0" borderId="0" xfId="17" applyNumberFormat="1" applyAlignment="1">
      <alignment vertical="center"/>
    </xf>
    <xf numFmtId="0" fontId="2" fillId="0" borderId="12" xfId="17" applyBorder="1"/>
    <xf numFmtId="0" fontId="2" fillId="0" borderId="12" xfId="17" applyBorder="1" applyAlignment="1">
      <alignment horizontal="left"/>
    </xf>
    <xf numFmtId="0" fontId="2" fillId="0" borderId="6" xfId="17" applyBorder="1"/>
    <xf numFmtId="0" fontId="2" fillId="0" borderId="5" xfId="17" applyBorder="1"/>
    <xf numFmtId="0" fontId="2" fillId="0" borderId="5" xfId="17" applyBorder="1" applyAlignment="1">
      <alignment horizontal="left"/>
    </xf>
    <xf numFmtId="0" fontId="2" fillId="0" borderId="4" xfId="17" applyBorder="1"/>
    <xf numFmtId="0" fontId="11" fillId="0" borderId="0" xfId="17" applyFont="1"/>
    <xf numFmtId="0" fontId="11" fillId="0" borderId="0" xfId="17" applyFont="1" applyAlignment="1">
      <alignment horizontal="left"/>
    </xf>
    <xf numFmtId="1" fontId="13" fillId="0" borderId="0" xfId="3" applyNumberFormat="1" applyFont="1" applyFill="1" applyBorder="1" applyAlignment="1">
      <alignment horizontal="center" vertical="center"/>
    </xf>
    <xf numFmtId="1" fontId="9" fillId="0" borderId="0" xfId="3" applyNumberFormat="1" applyFont="1" applyFill="1" applyBorder="1" applyAlignment="1">
      <alignment horizontal="center" vertical="center"/>
    </xf>
    <xf numFmtId="1" fontId="9" fillId="0" borderId="0" xfId="3" applyNumberFormat="1" applyFont="1" applyFill="1" applyBorder="1" applyAlignment="1">
      <alignment horizontal="center"/>
    </xf>
    <xf numFmtId="0" fontId="2" fillId="0" borderId="23" xfId="17" applyBorder="1" applyAlignment="1">
      <alignment horizontal="left"/>
    </xf>
    <xf numFmtId="0" fontId="2" fillId="0" borderId="118" xfId="17" applyBorder="1" applyAlignment="1">
      <alignment horizontal="left"/>
    </xf>
    <xf numFmtId="0" fontId="2" fillId="0" borderId="37" xfId="17" applyBorder="1" applyAlignment="1">
      <alignment horizontal="left"/>
    </xf>
    <xf numFmtId="0" fontId="2" fillId="0" borderId="119" xfId="17" applyBorder="1" applyAlignment="1">
      <alignment horizontal="left"/>
    </xf>
    <xf numFmtId="0" fontId="2" fillId="0" borderId="9" xfId="17" applyBorder="1" applyAlignment="1">
      <alignment horizontal="left"/>
    </xf>
    <xf numFmtId="0" fontId="2" fillId="0" borderId="1" xfId="17" applyBorder="1" applyAlignment="1">
      <alignment horizontal="left"/>
    </xf>
    <xf numFmtId="0" fontId="19" fillId="5" borderId="3" xfId="17" applyFont="1" applyFill="1" applyBorder="1" applyAlignment="1">
      <alignment horizontal="left" vertical="top" wrapText="1"/>
    </xf>
    <xf numFmtId="0" fontId="19" fillId="5" borderId="2" xfId="17" applyFont="1" applyFill="1" applyBorder="1" applyAlignment="1">
      <alignment horizontal="left" vertical="top" wrapText="1"/>
    </xf>
    <xf numFmtId="0" fontId="23" fillId="5" borderId="1" xfId="17" applyFont="1" applyFill="1" applyBorder="1" applyAlignment="1">
      <alignment horizontal="center" vertical="center" textRotation="90" wrapText="1"/>
    </xf>
    <xf numFmtId="167" fontId="23" fillId="5" borderId="22" xfId="17" applyNumberFormat="1" applyFont="1" applyFill="1" applyBorder="1" applyAlignment="1">
      <alignment horizontal="left" wrapText="1"/>
    </xf>
    <xf numFmtId="167" fontId="23" fillId="0" borderId="101" xfId="17" applyNumberFormat="1" applyFont="1" applyBorder="1" applyAlignment="1">
      <alignment horizontal="left" wrapText="1"/>
    </xf>
    <xf numFmtId="0" fontId="20" fillId="0" borderId="102" xfId="0" applyFont="1" applyBorder="1" applyAlignment="1">
      <alignment wrapText="1"/>
    </xf>
    <xf numFmtId="167" fontId="23" fillId="0" borderId="9" xfId="17" applyNumberFormat="1" applyFont="1" applyBorder="1" applyAlignment="1">
      <alignment horizontal="left" wrapText="1"/>
    </xf>
    <xf numFmtId="167" fontId="23" fillId="0" borderId="22" xfId="17" applyNumberFormat="1" applyFont="1" applyBorder="1" applyAlignment="1">
      <alignment horizontal="left" wrapText="1"/>
    </xf>
    <xf numFmtId="0" fontId="20" fillId="0" borderId="22" xfId="0" applyFont="1" applyBorder="1" applyAlignment="1">
      <alignment wrapText="1"/>
    </xf>
    <xf numFmtId="0" fontId="23" fillId="5" borderId="9" xfId="17" applyFont="1" applyFill="1" applyBorder="1" applyAlignment="1">
      <alignment horizontal="center" vertical="center" wrapText="1"/>
    </xf>
    <xf numFmtId="0" fontId="26" fillId="5" borderId="0" xfId="0" applyFont="1" applyFill="1" applyAlignment="1">
      <alignment horizontal="center" vertical="top" wrapText="1"/>
    </xf>
    <xf numFmtId="0" fontId="19" fillId="0" borderId="3" xfId="17" applyFont="1" applyBorder="1" applyAlignment="1">
      <alignment horizontal="left" vertical="top" wrapText="1"/>
    </xf>
    <xf numFmtId="1" fontId="19" fillId="5" borderId="3" xfId="3" applyNumberFormat="1" applyFont="1" applyFill="1" applyBorder="1" applyAlignment="1">
      <alignment horizontal="left" vertical="top" wrapText="1"/>
    </xf>
    <xf numFmtId="0" fontId="20" fillId="5" borderId="3" xfId="10" applyFont="1" applyFill="1" applyBorder="1" applyAlignment="1">
      <alignment horizontal="left" vertical="top" wrapText="1"/>
    </xf>
    <xf numFmtId="0" fontId="23" fillId="5" borderId="52" xfId="17" applyFont="1" applyFill="1" applyBorder="1" applyAlignment="1">
      <alignment horizontal="center" vertical="center" textRotation="90" wrapText="1"/>
    </xf>
    <xf numFmtId="0" fontId="19" fillId="5" borderId="2" xfId="17" applyFont="1" applyFill="1" applyBorder="1" applyAlignment="1">
      <alignment horizontal="left"/>
    </xf>
    <xf numFmtId="0" fontId="19" fillId="5" borderId="2" xfId="0" applyFont="1" applyFill="1" applyBorder="1" applyAlignment="1">
      <alignment horizontal="left" wrapText="1"/>
    </xf>
    <xf numFmtId="0" fontId="23" fillId="5" borderId="0" xfId="17" applyFont="1" applyFill="1" applyAlignment="1">
      <alignment horizontal="center"/>
    </xf>
    <xf numFmtId="0" fontId="19" fillId="5" borderId="2" xfId="0" applyFont="1" applyFill="1" applyBorder="1" applyAlignment="1">
      <alignment vertical="top" wrapText="1"/>
    </xf>
    <xf numFmtId="0" fontId="19" fillId="0" borderId="7" xfId="0" applyFont="1" applyBorder="1" applyAlignment="1">
      <alignment horizontal="left" vertical="center" wrapText="1"/>
    </xf>
    <xf numFmtId="0" fontId="19" fillId="0" borderId="4" xfId="0" applyFont="1" applyBorder="1" applyAlignment="1">
      <alignment horizontal="left" vertical="center" wrapText="1"/>
    </xf>
    <xf numFmtId="0" fontId="19" fillId="0" borderId="5" xfId="10" applyFont="1" applyBorder="1" applyAlignment="1">
      <alignment vertical="center" wrapText="1"/>
    </xf>
    <xf numFmtId="0" fontId="19" fillId="5" borderId="0" xfId="17" applyFont="1" applyFill="1" applyAlignment="1">
      <alignment horizontal="center" wrapText="1"/>
    </xf>
    <xf numFmtId="0" fontId="47" fillId="0" borderId="0" xfId="17" applyFont="1" applyAlignment="1">
      <alignment wrapText="1"/>
    </xf>
    <xf numFmtId="0" fontId="47" fillId="0" borderId="2" xfId="17" applyFont="1" applyBorder="1" applyAlignment="1">
      <alignment wrapText="1"/>
    </xf>
    <xf numFmtId="0" fontId="23" fillId="5" borderId="24" xfId="17" applyFont="1" applyFill="1" applyBorder="1" applyAlignment="1">
      <alignment horizontal="center"/>
    </xf>
    <xf numFmtId="167" fontId="19" fillId="5" borderId="12" xfId="17" applyNumberFormat="1" applyFont="1" applyFill="1" applyBorder="1"/>
    <xf numFmtId="167" fontId="23" fillId="0" borderId="101" xfId="17" applyNumberFormat="1" applyFont="1" applyBorder="1"/>
    <xf numFmtId="0" fontId="19" fillId="0" borderId="102" xfId="17" applyFont="1" applyBorder="1"/>
    <xf numFmtId="0" fontId="1" fillId="0" borderId="102" xfId="17" applyFont="1" applyBorder="1"/>
    <xf numFmtId="0" fontId="1" fillId="0" borderId="103" xfId="17" applyFont="1" applyBorder="1"/>
    <xf numFmtId="0" fontId="1" fillId="0" borderId="104" xfId="17" applyFont="1" applyBorder="1"/>
    <xf numFmtId="0" fontId="19" fillId="0" borderId="0" xfId="0" applyFont="1"/>
    <xf numFmtId="0" fontId="1" fillId="0" borderId="0" xfId="17" applyFont="1"/>
    <xf numFmtId="0" fontId="1" fillId="0" borderId="105" xfId="17" applyFont="1" applyBorder="1"/>
    <xf numFmtId="0" fontId="19" fillId="0" borderId="106" xfId="17" applyFont="1" applyBorder="1"/>
    <xf numFmtId="0" fontId="19" fillId="0" borderId="107" xfId="17" quotePrefix="1" applyFont="1" applyBorder="1" applyAlignment="1">
      <alignment vertical="center"/>
    </xf>
    <xf numFmtId="0" fontId="19" fillId="0" borderId="107" xfId="11" applyFont="1" applyBorder="1"/>
    <xf numFmtId="0" fontId="19" fillId="0" borderId="107" xfId="17" applyFont="1" applyBorder="1"/>
    <xf numFmtId="0" fontId="19" fillId="0" borderId="108" xfId="17" applyFont="1" applyBorder="1"/>
    <xf numFmtId="167" fontId="7" fillId="0" borderId="0" xfId="17" applyNumberFormat="1" applyFont="1"/>
    <xf numFmtId="0" fontId="1" fillId="0" borderId="0" xfId="17" applyFont="1" applyAlignment="1">
      <alignment horizontal="left"/>
    </xf>
    <xf numFmtId="0" fontId="4" fillId="0" borderId="0" xfId="17" applyFont="1" applyAlignment="1">
      <alignment horizontal="left"/>
    </xf>
    <xf numFmtId="167" fontId="1" fillId="0" borderId="0" xfId="17" applyNumberFormat="1" applyFont="1"/>
    <xf numFmtId="0" fontId="1" fillId="0" borderId="0" xfId="20"/>
    <xf numFmtId="167" fontId="12" fillId="0" borderId="0" xfId="17" applyNumberFormat="1" applyFont="1"/>
    <xf numFmtId="0" fontId="3" fillId="0" borderId="0" xfId="17" applyFont="1" applyAlignment="1">
      <alignment horizontal="left"/>
    </xf>
    <xf numFmtId="0" fontId="3" fillId="0" borderId="0" xfId="17" applyFont="1"/>
    <xf numFmtId="167" fontId="23" fillId="0" borderId="0" xfId="17" applyNumberFormat="1" applyFont="1"/>
    <xf numFmtId="0" fontId="3" fillId="2" borderId="0" xfId="17" applyFont="1" applyFill="1"/>
    <xf numFmtId="0" fontId="3" fillId="2" borderId="0" xfId="17" applyFont="1" applyFill="1" applyAlignment="1">
      <alignment horizontal="left"/>
    </xf>
    <xf numFmtId="167" fontId="3" fillId="0" borderId="0" xfId="17" applyNumberFormat="1" applyFont="1"/>
    <xf numFmtId="0" fontId="3" fillId="0" borderId="0" xfId="17" applyFont="1" applyAlignment="1">
      <alignment horizontal="right"/>
    </xf>
    <xf numFmtId="0" fontId="3" fillId="2" borderId="0" xfId="20" applyFont="1" applyFill="1" applyAlignment="1">
      <alignment horizontal="right"/>
    </xf>
    <xf numFmtId="167" fontId="23" fillId="0" borderId="9" xfId="17" applyNumberFormat="1" applyFont="1" applyBorder="1"/>
    <xf numFmtId="0" fontId="19" fillId="0" borderId="22" xfId="17" applyFont="1" applyBorder="1"/>
    <xf numFmtId="167" fontId="23" fillId="0" borderId="1" xfId="17" applyNumberFormat="1" applyFont="1" applyBorder="1"/>
    <xf numFmtId="0" fontId="19" fillId="0" borderId="1" xfId="17" applyFont="1" applyBorder="1" applyAlignment="1">
      <alignment horizontal="right"/>
    </xf>
    <xf numFmtId="0" fontId="19" fillId="0" borderId="0" xfId="20" applyFont="1"/>
    <xf numFmtId="0" fontId="19" fillId="0" borderId="0" xfId="17" applyFont="1" applyAlignment="1">
      <alignment horizontal="right"/>
    </xf>
    <xf numFmtId="0" fontId="19" fillId="0" borderId="2" xfId="17" applyFont="1" applyBorder="1" applyAlignment="1">
      <alignment vertical="top" wrapText="1"/>
    </xf>
    <xf numFmtId="0" fontId="19" fillId="0" borderId="23" xfId="17" applyFont="1" applyBorder="1" applyAlignment="1">
      <alignment horizontal="right"/>
    </xf>
    <xf numFmtId="0" fontId="19" fillId="0" borderId="24" xfId="20" applyFont="1" applyBorder="1"/>
    <xf numFmtId="0" fontId="19" fillId="0" borderId="24" xfId="17" applyFont="1" applyBorder="1" applyAlignment="1">
      <alignment horizontal="right"/>
    </xf>
    <xf numFmtId="167" fontId="1" fillId="0" borderId="1" xfId="17" applyNumberFormat="1" applyFont="1" applyBorder="1"/>
    <xf numFmtId="0" fontId="1" fillId="0" borderId="2" xfId="17" applyFont="1" applyBorder="1"/>
    <xf numFmtId="0" fontId="19" fillId="0" borderId="22" xfId="17" applyFont="1" applyBorder="1" applyAlignment="1">
      <alignment horizontal="left"/>
    </xf>
    <xf numFmtId="167" fontId="1" fillId="0" borderId="23" xfId="17" applyNumberFormat="1" applyFont="1" applyBorder="1"/>
    <xf numFmtId="0" fontId="1" fillId="0" borderId="24" xfId="17" applyFont="1" applyBorder="1"/>
    <xf numFmtId="0" fontId="1" fillId="0" borderId="24" xfId="17" applyFont="1" applyBorder="1" applyAlignment="1">
      <alignment horizontal="left"/>
    </xf>
    <xf numFmtId="0" fontId="1" fillId="0" borderId="12" xfId="17" applyFont="1" applyBorder="1"/>
    <xf numFmtId="0" fontId="23" fillId="0" borderId="0" xfId="17" applyFont="1"/>
    <xf numFmtId="0" fontId="23" fillId="0" borderId="0" xfId="17" applyFont="1" applyAlignment="1">
      <alignment horizontal="right"/>
    </xf>
    <xf numFmtId="0" fontId="23" fillId="0" borderId="0" xfId="17" applyFont="1" applyAlignment="1">
      <alignment horizontal="left"/>
    </xf>
    <xf numFmtId="167" fontId="19" fillId="0" borderId="1" xfId="17" applyNumberFormat="1" applyFont="1" applyBorder="1"/>
    <xf numFmtId="0" fontId="19" fillId="0" borderId="23" xfId="17" applyFont="1" applyBorder="1"/>
    <xf numFmtId="167" fontId="19" fillId="0" borderId="24" xfId="17" applyNumberFormat="1" applyFont="1" applyBorder="1"/>
    <xf numFmtId="0" fontId="19" fillId="0" borderId="0" xfId="17" applyFont="1" applyAlignment="1">
      <alignment horizontal="left" wrapText="1"/>
    </xf>
    <xf numFmtId="0" fontId="19" fillId="0" borderId="0" xfId="17" applyFont="1" applyAlignment="1">
      <alignment horizontal="left"/>
    </xf>
    <xf numFmtId="0" fontId="19" fillId="0" borderId="2" xfId="17" applyFont="1" applyBorder="1" applyAlignment="1">
      <alignment horizontal="left" wrapText="1"/>
    </xf>
    <xf numFmtId="167" fontId="47" fillId="0" borderId="23" xfId="17" applyNumberFormat="1" applyFont="1" applyBorder="1"/>
    <xf numFmtId="0" fontId="47" fillId="0" borderId="24" xfId="17" applyFont="1" applyBorder="1"/>
    <xf numFmtId="0" fontId="49" fillId="0" borderId="24" xfId="17" applyFont="1" applyBorder="1" applyAlignment="1">
      <alignment horizontal="left"/>
    </xf>
    <xf numFmtId="0" fontId="49" fillId="0" borderId="24" xfId="17" applyFont="1" applyBorder="1"/>
    <xf numFmtId="0" fontId="47" fillId="0" borderId="24" xfId="17" applyFont="1" applyBorder="1" applyAlignment="1">
      <alignment horizontal="right"/>
    </xf>
    <xf numFmtId="0" fontId="47" fillId="0" borderId="12" xfId="17" applyFont="1" applyBorder="1"/>
    <xf numFmtId="0" fontId="23" fillId="0" borderId="0" xfId="17" applyFont="1" applyAlignment="1">
      <alignment horizontal="center"/>
    </xf>
    <xf numFmtId="0" fontId="1" fillId="0" borderId="1" xfId="17" applyFont="1" applyBorder="1"/>
    <xf numFmtId="167" fontId="19" fillId="0" borderId="0" xfId="17" applyNumberFormat="1" applyFont="1"/>
    <xf numFmtId="0" fontId="19" fillId="0" borderId="0" xfId="17" quotePrefix="1" applyFont="1" applyAlignment="1">
      <alignment horizontal="center"/>
    </xf>
    <xf numFmtId="167" fontId="19" fillId="0" borderId="22" xfId="17" applyNumberFormat="1" applyFont="1" applyBorder="1"/>
    <xf numFmtId="0" fontId="1" fillId="0" borderId="23" xfId="17" applyFont="1" applyBorder="1"/>
    <xf numFmtId="0" fontId="19" fillId="0" borderId="24" xfId="17" applyFont="1" applyBorder="1" applyAlignment="1">
      <alignment vertical="center"/>
    </xf>
    <xf numFmtId="0" fontId="19" fillId="0" borderId="0" xfId="20" applyFont="1" applyAlignment="1">
      <alignment horizontal="left"/>
    </xf>
    <xf numFmtId="0" fontId="19" fillId="0" borderId="2" xfId="20" applyFont="1" applyBorder="1" applyAlignment="1">
      <alignment horizontal="left"/>
    </xf>
    <xf numFmtId="167" fontId="19" fillId="0" borderId="0" xfId="17" applyNumberFormat="1" applyFont="1" applyAlignment="1">
      <alignment horizontal="left"/>
    </xf>
    <xf numFmtId="0" fontId="1" fillId="0" borderId="10" xfId="17" applyFont="1" applyBorder="1"/>
    <xf numFmtId="167" fontId="23" fillId="0" borderId="24" xfId="17" applyNumberFormat="1" applyFont="1" applyBorder="1"/>
    <xf numFmtId="167" fontId="23" fillId="0" borderId="22" xfId="17" applyNumberFormat="1" applyFont="1" applyBorder="1"/>
    <xf numFmtId="0" fontId="19" fillId="0" borderId="0" xfId="20" applyFont="1" applyAlignment="1">
      <alignment wrapText="1"/>
    </xf>
    <xf numFmtId="0" fontId="19" fillId="0" borderId="24" xfId="20" applyFont="1" applyBorder="1" applyAlignment="1">
      <alignment wrapText="1"/>
    </xf>
    <xf numFmtId="167" fontId="23" fillId="0" borderId="10" xfId="17" applyNumberFormat="1" applyFont="1" applyBorder="1"/>
    <xf numFmtId="0" fontId="19" fillId="0" borderId="0" xfId="20" applyFont="1" applyAlignment="1">
      <alignment vertical="top" wrapText="1"/>
    </xf>
    <xf numFmtId="167" fontId="23" fillId="0" borderId="23" xfId="17" applyNumberFormat="1" applyFont="1" applyBorder="1"/>
    <xf numFmtId="0" fontId="19" fillId="0" borderId="24" xfId="20" applyFont="1" applyBorder="1" applyAlignment="1">
      <alignment vertical="top" wrapText="1"/>
    </xf>
    <xf numFmtId="0" fontId="19" fillId="0" borderId="0" xfId="17" applyFont="1" applyAlignment="1">
      <alignment horizontal="left" vertical="top" wrapText="1"/>
    </xf>
    <xf numFmtId="0" fontId="19" fillId="0" borderId="2" xfId="17" applyFont="1" applyBorder="1" applyAlignment="1">
      <alignment horizontal="left" vertical="top" wrapText="1"/>
    </xf>
    <xf numFmtId="0" fontId="23" fillId="0" borderId="24" xfId="17" applyFont="1" applyBorder="1" applyAlignment="1">
      <alignment horizontal="right"/>
    </xf>
    <xf numFmtId="0" fontId="19" fillId="0" borderId="107" xfId="20" applyFont="1" applyBorder="1"/>
    <xf numFmtId="0" fontId="19" fillId="0" borderId="0" xfId="17" quotePrefix="1" applyFont="1" applyAlignment="1">
      <alignment vertical="center"/>
    </xf>
    <xf numFmtId="167" fontId="1" fillId="0" borderId="24" xfId="17" applyNumberFormat="1" applyFont="1" applyBorder="1"/>
    <xf numFmtId="167" fontId="23" fillId="0" borderId="0" xfId="17" applyNumberFormat="1" applyFont="1" applyAlignment="1">
      <alignment horizontal="left"/>
    </xf>
    <xf numFmtId="0" fontId="19" fillId="0" borderId="0" xfId="17" applyFont="1" applyAlignment="1">
      <alignment horizontal="center" vertical="top" wrapText="1"/>
    </xf>
    <xf numFmtId="0" fontId="1" fillId="0" borderId="0" xfId="20" applyAlignment="1">
      <alignment horizontal="left" vertical="top" wrapText="1"/>
    </xf>
    <xf numFmtId="0" fontId="1" fillId="0" borderId="2" xfId="20" applyBorder="1" applyAlignment="1">
      <alignment horizontal="left" vertical="top" wrapText="1"/>
    </xf>
    <xf numFmtId="0" fontId="19" fillId="0" borderId="24" xfId="17" applyFont="1" applyBorder="1" applyAlignment="1">
      <alignment horizontal="left"/>
    </xf>
    <xf numFmtId="167" fontId="23" fillId="0" borderId="22" xfId="17" applyNumberFormat="1" applyFont="1" applyBorder="1" applyAlignment="1">
      <alignment horizontal="left"/>
    </xf>
    <xf numFmtId="0" fontId="23" fillId="0" borderId="1" xfId="17" applyFont="1" applyBorder="1" applyAlignment="1">
      <alignment vertical="top" wrapText="1"/>
    </xf>
    <xf numFmtId="0" fontId="23" fillId="0" borderId="0" xfId="17" applyFont="1" applyAlignment="1">
      <alignment vertical="top" wrapText="1"/>
    </xf>
    <xf numFmtId="0" fontId="19" fillId="0" borderId="0" xfId="17" applyFont="1" applyAlignment="1">
      <alignment vertical="top"/>
    </xf>
    <xf numFmtId="0" fontId="19" fillId="0" borderId="105" xfId="17" applyFont="1" applyBorder="1" applyAlignment="1">
      <alignment vertical="top"/>
    </xf>
    <xf numFmtId="0" fontId="19" fillId="0" borderId="0" xfId="20" applyFont="1" applyAlignment="1">
      <alignment horizontal="left" vertical="top" wrapText="1"/>
    </xf>
    <xf numFmtId="167" fontId="23" fillId="0" borderId="104" xfId="17" applyNumberFormat="1" applyFont="1" applyBorder="1" applyAlignment="1">
      <alignment horizontal="left"/>
    </xf>
    <xf numFmtId="167" fontId="23" fillId="0" borderId="0" xfId="17" applyNumberFormat="1" applyFont="1" applyAlignment="1">
      <alignment vertical="top" wrapText="1"/>
    </xf>
    <xf numFmtId="0" fontId="19" fillId="0" borderId="105" xfId="17" applyFont="1" applyBorder="1"/>
    <xf numFmtId="0" fontId="19" fillId="0" borderId="24" xfId="20" applyFont="1" applyBorder="1" applyAlignment="1">
      <alignment horizontal="left" vertical="top" wrapText="1"/>
    </xf>
    <xf numFmtId="167" fontId="23" fillId="0" borderId="104" xfId="17" applyNumberFormat="1" applyFont="1" applyBorder="1" applyAlignment="1">
      <alignment vertical="top" wrapText="1"/>
    </xf>
    <xf numFmtId="0" fontId="19" fillId="0" borderId="105" xfId="17" applyFont="1" applyBorder="1" applyAlignment="1">
      <alignment vertical="top" wrapText="1"/>
    </xf>
    <xf numFmtId="0" fontId="23" fillId="0" borderId="22" xfId="17" applyFont="1" applyBorder="1" applyAlignment="1">
      <alignment horizontal="right"/>
    </xf>
    <xf numFmtId="0" fontId="1" fillId="0" borderId="107" xfId="20" applyBorder="1" applyAlignment="1">
      <alignment vertical="top" wrapText="1"/>
    </xf>
    <xf numFmtId="0" fontId="1" fillId="0" borderId="108" xfId="20" applyBorder="1" applyAlignment="1">
      <alignment vertical="top" wrapText="1"/>
    </xf>
    <xf numFmtId="167" fontId="23" fillId="0" borderId="1" xfId="17" applyNumberFormat="1" applyFont="1" applyBorder="1" applyAlignment="1">
      <alignment horizontal="left"/>
    </xf>
    <xf numFmtId="167" fontId="23" fillId="0" borderId="104" xfId="17" applyNumberFormat="1" applyFont="1" applyBorder="1"/>
    <xf numFmtId="0" fontId="19" fillId="0" borderId="104" xfId="17" quotePrefix="1" applyFont="1" applyBorder="1" applyAlignment="1">
      <alignment horizontal="center"/>
    </xf>
    <xf numFmtId="0" fontId="23" fillId="0" borderId="0" xfId="20" applyFont="1"/>
    <xf numFmtId="167" fontId="23" fillId="0" borderId="101" xfId="17" applyNumberFormat="1" applyFont="1" applyBorder="1" applyAlignment="1">
      <alignment horizontal="left"/>
    </xf>
    <xf numFmtId="0" fontId="19" fillId="0" borderId="10" xfId="17" applyFont="1" applyBorder="1" applyAlignment="1">
      <alignment horizontal="left"/>
    </xf>
    <xf numFmtId="167" fontId="23" fillId="0" borderId="0" xfId="17" applyNumberFormat="1" applyFont="1" applyAlignment="1">
      <alignment vertical="top"/>
    </xf>
    <xf numFmtId="0" fontId="23" fillId="0" borderId="105" xfId="17" applyFont="1" applyBorder="1" applyAlignment="1">
      <alignment horizontal="left"/>
    </xf>
    <xf numFmtId="0" fontId="1" fillId="0" borderId="106" xfId="17" applyFont="1" applyBorder="1"/>
    <xf numFmtId="0" fontId="19" fillId="0" borderId="107" xfId="17" applyFont="1" applyBorder="1" applyAlignment="1">
      <alignment vertical="top" wrapText="1"/>
    </xf>
    <xf numFmtId="0" fontId="1" fillId="0" borderId="107" xfId="17" applyFont="1" applyBorder="1"/>
    <xf numFmtId="0" fontId="19" fillId="0" borderId="108" xfId="17" applyFont="1" applyBorder="1" applyAlignment="1">
      <alignment vertical="top" wrapText="1"/>
    </xf>
    <xf numFmtId="0" fontId="19" fillId="0" borderId="1" xfId="17" applyFont="1" applyBorder="1" applyAlignment="1">
      <alignment horizontal="left"/>
    </xf>
    <xf numFmtId="0" fontId="19" fillId="0" borderId="104" xfId="17" applyFont="1" applyBorder="1" applyAlignment="1">
      <alignment horizontal="center"/>
    </xf>
    <xf numFmtId="0" fontId="23" fillId="0" borderId="24" xfId="17" applyFont="1" applyBorder="1"/>
    <xf numFmtId="167" fontId="23" fillId="0" borderId="9" xfId="17" applyNumberFormat="1" applyFont="1" applyBorder="1" applyAlignment="1">
      <alignment horizontal="left"/>
    </xf>
    <xf numFmtId="0" fontId="19" fillId="0" borderId="4" xfId="17" applyFont="1" applyBorder="1" applyAlignment="1">
      <alignment horizontal="left" vertical="top" wrapText="1"/>
    </xf>
    <xf numFmtId="0" fontId="19" fillId="0" borderId="37" xfId="17" applyFont="1" applyBorder="1"/>
    <xf numFmtId="0" fontId="19" fillId="0" borderId="2" xfId="17" applyFont="1" applyBorder="1" applyAlignment="1">
      <alignment horizontal="center" vertical="top" wrapText="1"/>
    </xf>
    <xf numFmtId="0" fontId="19" fillId="0" borderId="106" xfId="17" applyFont="1" applyBorder="1" applyAlignment="1">
      <alignment horizontal="center"/>
    </xf>
    <xf numFmtId="0" fontId="4" fillId="0" borderId="107" xfId="17" applyFont="1" applyBorder="1"/>
    <xf numFmtId="0" fontId="45" fillId="0" borderId="0" xfId="20" applyFont="1"/>
    <xf numFmtId="0" fontId="19" fillId="0" borderId="2" xfId="20" applyFont="1" applyBorder="1" applyAlignment="1">
      <alignment wrapText="1"/>
    </xf>
    <xf numFmtId="0" fontId="19" fillId="0" borderId="22" xfId="17" applyFont="1" applyBorder="1" applyAlignment="1">
      <alignment horizontal="left" vertical="top"/>
    </xf>
    <xf numFmtId="0" fontId="19" fillId="0" borderId="22" xfId="20" applyFont="1" applyBorder="1"/>
    <xf numFmtId="0" fontId="19" fillId="0" borderId="12" xfId="17" applyFont="1" applyBorder="1" applyAlignment="1">
      <alignment vertical="top" wrapText="1"/>
    </xf>
    <xf numFmtId="0" fontId="19" fillId="0" borderId="2" xfId="20" applyFont="1" applyBorder="1"/>
    <xf numFmtId="167" fontId="19" fillId="0" borderId="2" xfId="17" applyNumberFormat="1" applyFont="1" applyBorder="1"/>
    <xf numFmtId="167" fontId="23" fillId="0" borderId="23" xfId="17" applyNumberFormat="1" applyFont="1" applyBorder="1" applyAlignment="1">
      <alignment horizontal="left"/>
    </xf>
    <xf numFmtId="0" fontId="19" fillId="0" borderId="24" xfId="17" applyFont="1" applyBorder="1" applyAlignment="1">
      <alignment horizontal="left" wrapText="1"/>
    </xf>
    <xf numFmtId="0" fontId="1" fillId="0" borderId="133" xfId="17" applyFont="1" applyBorder="1"/>
    <xf numFmtId="0" fontId="4" fillId="0" borderId="24" xfId="17" applyFont="1" applyBorder="1" applyAlignment="1">
      <alignment horizontal="left"/>
    </xf>
    <xf numFmtId="0" fontId="19" fillId="0" borderId="134" xfId="17" applyFont="1" applyBorder="1"/>
    <xf numFmtId="0" fontId="23" fillId="0" borderId="24" xfId="17" applyFont="1" applyBorder="1" applyAlignment="1">
      <alignment vertical="center"/>
    </xf>
    <xf numFmtId="0" fontId="1" fillId="0" borderId="24" xfId="20" applyBorder="1"/>
    <xf numFmtId="0" fontId="23" fillId="5" borderId="2" xfId="17" applyFont="1" applyFill="1" applyBorder="1" applyAlignment="1">
      <alignment horizontal="center" vertical="top"/>
    </xf>
    <xf numFmtId="0" fontId="11" fillId="5" borderId="3" xfId="17" applyFont="1" applyFill="1" applyBorder="1" applyAlignment="1">
      <alignment horizontal="left" vertical="top"/>
    </xf>
    <xf numFmtId="0" fontId="7" fillId="0" borderId="0" xfId="17" applyFont="1"/>
    <xf numFmtId="0" fontId="7" fillId="0" borderId="0" xfId="17" applyFont="1" applyAlignment="1">
      <alignment horizontal="left" vertical="center"/>
    </xf>
    <xf numFmtId="167" fontId="23" fillId="0" borderId="8" xfId="17" applyNumberFormat="1" applyFont="1" applyBorder="1" applyAlignment="1">
      <alignment horizontal="center" vertical="center" wrapText="1"/>
    </xf>
    <xf numFmtId="0" fontId="19" fillId="0" borderId="3" xfId="17" applyFont="1" applyBorder="1" applyAlignment="1">
      <alignment vertical="center" wrapText="1"/>
    </xf>
    <xf numFmtId="0" fontId="19" fillId="0" borderId="1" xfId="17" applyFont="1" applyBorder="1" applyAlignment="1">
      <alignment vertical="top"/>
    </xf>
    <xf numFmtId="0" fontId="19" fillId="0" borderId="2" xfId="17" applyFont="1" applyBorder="1" applyAlignment="1">
      <alignment vertical="top"/>
    </xf>
    <xf numFmtId="0" fontId="19" fillId="0" borderId="1" xfId="17" applyFont="1" applyBorder="1" applyAlignment="1">
      <alignment horizontal="left" vertical="top"/>
    </xf>
    <xf numFmtId="0" fontId="19" fillId="0" borderId="2" xfId="17" applyFont="1" applyBorder="1" applyAlignment="1">
      <alignment horizontal="left" vertical="top"/>
    </xf>
    <xf numFmtId="0" fontId="19" fillId="0" borderId="3" xfId="17" applyFont="1" applyBorder="1" applyAlignment="1">
      <alignment horizontal="left" vertical="top"/>
    </xf>
    <xf numFmtId="0" fontId="19" fillId="0" borderId="1" xfId="17" applyFont="1" applyBorder="1" applyAlignment="1">
      <alignment vertical="top" wrapText="1"/>
    </xf>
    <xf numFmtId="0" fontId="8" fillId="0" borderId="1" xfId="17" applyFont="1" applyBorder="1" applyAlignment="1">
      <alignment vertical="top" wrapText="1"/>
    </xf>
    <xf numFmtId="0" fontId="8" fillId="0" borderId="2" xfId="17" applyFont="1" applyBorder="1" applyAlignment="1">
      <alignment vertical="top" wrapText="1"/>
    </xf>
    <xf numFmtId="0" fontId="23" fillId="0" borderId="10" xfId="17" applyFont="1" applyBorder="1" applyAlignment="1">
      <alignment horizontal="center" vertical="top"/>
    </xf>
    <xf numFmtId="0" fontId="23" fillId="0" borderId="9" xfId="17" applyFont="1" applyBorder="1" applyAlignment="1">
      <alignment horizontal="center" vertical="top"/>
    </xf>
    <xf numFmtId="0" fontId="23" fillId="0" borderId="8" xfId="17" applyFont="1" applyBorder="1" applyAlignment="1">
      <alignment horizontal="center" vertical="top"/>
    </xf>
    <xf numFmtId="0" fontId="11" fillId="0" borderId="12" xfId="17" applyFont="1" applyBorder="1" applyAlignment="1">
      <alignment vertical="center"/>
    </xf>
    <xf numFmtId="0" fontId="11" fillId="0" borderId="6" xfId="17" applyFont="1" applyBorder="1" applyAlignment="1">
      <alignment vertical="center"/>
    </xf>
    <xf numFmtId="166" fontId="23" fillId="0" borderId="12" xfId="15" applyNumberFormat="1" applyFont="1" applyBorder="1" applyAlignment="1">
      <alignment horizontal="center" vertical="center"/>
    </xf>
    <xf numFmtId="0" fontId="19" fillId="0" borderId="4" xfId="0" quotePrefix="1" applyFont="1" applyBorder="1" applyAlignment="1">
      <alignment horizontal="center" vertical="center" wrapText="1"/>
    </xf>
    <xf numFmtId="0" fontId="19" fillId="0" borderId="3" xfId="17" applyFont="1" applyBorder="1" applyAlignment="1">
      <alignment horizontal="center" vertical="top" wrapText="1"/>
    </xf>
    <xf numFmtId="0" fontId="19" fillId="0" borderId="3" xfId="17" applyFont="1" applyBorder="1" applyAlignment="1">
      <alignment wrapText="1"/>
    </xf>
    <xf numFmtId="0" fontId="19" fillId="0" borderId="3" xfId="0" applyFont="1" applyBorder="1" applyAlignment="1">
      <alignment horizontal="left" vertical="center" wrapText="1"/>
    </xf>
    <xf numFmtId="0" fontId="19" fillId="0" borderId="0" xfId="0" applyFont="1" applyAlignment="1">
      <alignment horizontal="left" vertical="center" wrapText="1"/>
    </xf>
    <xf numFmtId="0" fontId="19" fillId="0" borderId="3" xfId="0" applyFont="1" applyBorder="1" applyAlignment="1">
      <alignment horizontal="left" wrapText="1"/>
    </xf>
    <xf numFmtId="0" fontId="19" fillId="0" borderId="3" xfId="0" applyFont="1" applyBorder="1" applyAlignment="1">
      <alignment vertical="center" wrapText="1"/>
    </xf>
    <xf numFmtId="0" fontId="23" fillId="0" borderId="51" xfId="16" applyFont="1" applyBorder="1" applyAlignment="1">
      <alignment horizontal="center" vertical="center" wrapText="1"/>
    </xf>
    <xf numFmtId="0" fontId="19" fillId="0" borderId="105" xfId="0" quotePrefix="1" applyFont="1" applyBorder="1" applyAlignment="1">
      <alignment vertical="top" wrapText="1"/>
    </xf>
    <xf numFmtId="0" fontId="19" fillId="0" borderId="2" xfId="0" applyFont="1" applyBorder="1"/>
    <xf numFmtId="0" fontId="19" fillId="0" borderId="2" xfId="0" applyFont="1" applyBorder="1" applyAlignment="1">
      <alignment horizontal="left" vertical="top" wrapText="1"/>
    </xf>
    <xf numFmtId="0" fontId="19" fillId="0" borderId="6" xfId="0" quotePrefix="1" applyFont="1" applyBorder="1" applyAlignment="1">
      <alignment horizontal="center" vertical="center" wrapText="1"/>
    </xf>
    <xf numFmtId="0" fontId="19" fillId="0" borderId="23" xfId="0" quotePrefix="1" applyFont="1" applyBorder="1" applyAlignment="1">
      <alignment horizontal="center" vertical="center" wrapText="1"/>
    </xf>
    <xf numFmtId="0" fontId="19" fillId="0" borderId="3" xfId="0" applyFont="1" applyBorder="1"/>
    <xf numFmtId="0" fontId="19" fillId="0" borderId="4" xfId="17" applyFont="1" applyBorder="1" applyAlignment="1">
      <alignment horizontal="center" vertical="center"/>
    </xf>
    <xf numFmtId="0" fontId="19" fillId="2" borderId="3" xfId="17" applyFont="1" applyFill="1" applyBorder="1" applyAlignment="1">
      <alignment horizontal="left" vertical="center" wrapText="1"/>
    </xf>
    <xf numFmtId="0" fontId="19" fillId="0" borderId="3" xfId="0" applyFont="1" applyBorder="1" applyAlignment="1">
      <alignment horizontal="center" wrapText="1"/>
    </xf>
    <xf numFmtId="0" fontId="23" fillId="0" borderId="18" xfId="16" applyFont="1" applyBorder="1" applyAlignment="1">
      <alignment horizontal="center" vertical="center" wrapText="1"/>
    </xf>
    <xf numFmtId="0" fontId="19" fillId="0" borderId="104" xfId="17" applyFont="1" applyBorder="1"/>
    <xf numFmtId="0" fontId="1" fillId="0" borderId="1" xfId="0" applyFont="1" applyBorder="1"/>
    <xf numFmtId="0" fontId="19" fillId="0" borderId="6" xfId="17" applyFont="1" applyBorder="1" applyAlignment="1">
      <alignment horizontal="center" vertical="center"/>
    </xf>
    <xf numFmtId="0" fontId="1" fillId="0" borderId="3" xfId="0" applyFont="1" applyBorder="1" applyAlignment="1">
      <alignment wrapText="1"/>
    </xf>
    <xf numFmtId="0" fontId="19" fillId="0" borderId="6" xfId="17" applyFont="1" applyBorder="1" applyAlignment="1">
      <alignment wrapText="1"/>
    </xf>
    <xf numFmtId="0" fontId="23" fillId="0" borderId="8" xfId="16" applyFont="1" applyBorder="1" applyAlignment="1">
      <alignment horizontal="center" vertical="center" wrapText="1"/>
    </xf>
    <xf numFmtId="167" fontId="23" fillId="0" borderId="8" xfId="17" applyNumberFormat="1" applyFont="1" applyBorder="1" applyAlignment="1">
      <alignment horizontal="center" wrapText="1"/>
    </xf>
    <xf numFmtId="0" fontId="20" fillId="0" borderId="0" xfId="0" applyFont="1" applyAlignment="1">
      <alignment wrapText="1"/>
    </xf>
    <xf numFmtId="0" fontId="1" fillId="0" borderId="5" xfId="0" applyFont="1" applyBorder="1"/>
    <xf numFmtId="0" fontId="1" fillId="0" borderId="12" xfId="0" applyFont="1" applyBorder="1"/>
    <xf numFmtId="167" fontId="23" fillId="0" borderId="101" xfId="17" applyNumberFormat="1" applyFont="1" applyBorder="1" applyAlignment="1">
      <alignment horizontal="center" wrapText="1"/>
    </xf>
    <xf numFmtId="167" fontId="23" fillId="0" borderId="102" xfId="17" applyNumberFormat="1" applyFont="1" applyBorder="1" applyAlignment="1">
      <alignment wrapText="1"/>
    </xf>
    <xf numFmtId="167" fontId="23" fillId="0" borderId="103" xfId="17" applyNumberFormat="1" applyFont="1" applyBorder="1" applyAlignment="1">
      <alignment wrapText="1"/>
    </xf>
    <xf numFmtId="0" fontId="19" fillId="0" borderId="104" xfId="17" applyFont="1" applyBorder="1" applyAlignment="1">
      <alignment vertical="top" wrapText="1"/>
    </xf>
    <xf numFmtId="0" fontId="19" fillId="0" borderId="4" xfId="0" applyFont="1" applyBorder="1" applyAlignment="1">
      <alignment horizontal="center" vertical="center"/>
    </xf>
    <xf numFmtId="0" fontId="19" fillId="0" borderId="37" xfId="0" applyFont="1" applyBorder="1" applyAlignment="1">
      <alignment horizontal="center" vertical="center"/>
    </xf>
    <xf numFmtId="167" fontId="23" fillId="0" borderId="116" xfId="17" applyNumberFormat="1" applyFont="1" applyBorder="1" applyAlignment="1">
      <alignment horizontal="left" wrapText="1"/>
    </xf>
    <xf numFmtId="167" fontId="23" fillId="0" borderId="109" xfId="17" applyNumberFormat="1" applyFont="1" applyBorder="1" applyAlignment="1">
      <alignment horizontal="left" wrapText="1"/>
    </xf>
    <xf numFmtId="167" fontId="23" fillId="0" borderId="103" xfId="17" applyNumberFormat="1" applyFont="1" applyBorder="1" applyAlignment="1">
      <alignment horizontal="left" wrapText="1"/>
    </xf>
    <xf numFmtId="0" fontId="19" fillId="0" borderId="0" xfId="0" applyFont="1" applyAlignment="1">
      <alignment horizontal="left" vertical="top" wrapText="1"/>
    </xf>
    <xf numFmtId="0" fontId="19" fillId="0" borderId="116" xfId="0" applyFont="1" applyBorder="1" applyAlignment="1">
      <alignment vertical="top" wrapText="1"/>
    </xf>
    <xf numFmtId="0" fontId="19" fillId="0" borderId="22" xfId="0" applyFont="1" applyBorder="1" applyAlignment="1">
      <alignment vertical="top" wrapText="1"/>
    </xf>
    <xf numFmtId="0" fontId="19" fillId="0" borderId="112" xfId="0" applyFont="1" applyBorder="1" applyAlignment="1">
      <alignment vertical="top" wrapText="1"/>
    </xf>
    <xf numFmtId="0" fontId="19" fillId="0" borderId="0" xfId="0" applyFont="1" applyAlignment="1">
      <alignment vertical="top" wrapText="1"/>
    </xf>
    <xf numFmtId="0" fontId="19" fillId="0" borderId="112" xfId="0" applyFont="1" applyBorder="1" applyAlignment="1">
      <alignment horizontal="left" vertical="top" wrapText="1"/>
    </xf>
    <xf numFmtId="0" fontId="19" fillId="0" borderId="1" xfId="0" applyFont="1" applyBorder="1" applyAlignment="1">
      <alignment vertical="top" wrapText="1"/>
    </xf>
    <xf numFmtId="0" fontId="19" fillId="0" borderId="2" xfId="0" applyFont="1" applyBorder="1" applyAlignment="1">
      <alignment vertical="top" wrapText="1"/>
    </xf>
    <xf numFmtId="0" fontId="23" fillId="0" borderId="3" xfId="17" applyFont="1" applyBorder="1" applyAlignment="1">
      <alignment vertical="center" wrapText="1"/>
    </xf>
    <xf numFmtId="0" fontId="23" fillId="0" borderId="3" xfId="0" applyFont="1" applyBorder="1" applyAlignment="1">
      <alignment vertical="center" wrapText="1"/>
    </xf>
    <xf numFmtId="167" fontId="23" fillId="0" borderId="113" xfId="17" applyNumberFormat="1" applyFont="1" applyBorder="1" applyAlignment="1">
      <alignment horizontal="left" wrapText="1"/>
    </xf>
    <xf numFmtId="0" fontId="19" fillId="0" borderId="0" xfId="0" applyFont="1" applyAlignment="1">
      <alignment wrapText="1"/>
    </xf>
    <xf numFmtId="0" fontId="23" fillId="0" borderId="114" xfId="17" applyFont="1" applyBorder="1" applyAlignment="1">
      <alignment horizontal="center" vertical="top" wrapText="1"/>
    </xf>
    <xf numFmtId="0" fontId="19" fillId="0" borderId="114" xfId="17" applyFont="1" applyBorder="1" applyAlignment="1">
      <alignment horizontal="left"/>
    </xf>
    <xf numFmtId="0" fontId="19" fillId="0" borderId="114" xfId="17" applyFont="1" applyBorder="1" applyAlignment="1">
      <alignment wrapText="1"/>
    </xf>
    <xf numFmtId="0" fontId="23" fillId="0" borderId="114" xfId="17" applyFont="1" applyBorder="1" applyAlignment="1">
      <alignment vertical="center" wrapText="1"/>
    </xf>
    <xf numFmtId="0" fontId="23" fillId="0" borderId="0" xfId="17" applyFont="1" applyAlignment="1">
      <alignment vertical="center" wrapText="1"/>
    </xf>
    <xf numFmtId="0" fontId="23" fillId="0" borderId="1" xfId="17" applyFont="1" applyBorder="1" applyAlignment="1">
      <alignment vertical="center" wrapText="1"/>
    </xf>
    <xf numFmtId="0" fontId="23" fillId="0" borderId="52" xfId="17" applyFont="1" applyBorder="1" applyAlignment="1">
      <alignment vertical="center" wrapText="1"/>
    </xf>
    <xf numFmtId="0" fontId="23" fillId="0" borderId="51" xfId="17" applyFont="1" applyBorder="1" applyAlignment="1">
      <alignment vertical="center" wrapText="1"/>
    </xf>
    <xf numFmtId="0" fontId="19" fillId="0" borderId="110" xfId="17" applyFont="1" applyBorder="1" applyAlignment="1">
      <alignment horizontal="left" vertical="top" wrapText="1"/>
    </xf>
    <xf numFmtId="0" fontId="19" fillId="0" borderId="104" xfId="17" applyFont="1" applyBorder="1" applyAlignment="1">
      <alignment horizontal="left" vertical="top" wrapText="1"/>
    </xf>
    <xf numFmtId="0" fontId="23" fillId="0" borderId="110" xfId="17" applyFont="1" applyBorder="1" applyAlignment="1">
      <alignment vertical="center" wrapText="1"/>
    </xf>
    <xf numFmtId="0" fontId="23" fillId="0" borderId="104" xfId="17" applyFont="1" applyBorder="1" applyAlignment="1">
      <alignment horizontal="center" vertical="center" wrapText="1"/>
    </xf>
    <xf numFmtId="0" fontId="19" fillId="0" borderId="110" xfId="17" applyFont="1" applyBorder="1"/>
    <xf numFmtId="0" fontId="23" fillId="0" borderId="104" xfId="17" applyFont="1" applyBorder="1" applyAlignment="1">
      <alignment vertical="center" wrapText="1"/>
    </xf>
    <xf numFmtId="0" fontId="23" fillId="0" borderId="111" xfId="17" applyFont="1" applyBorder="1" applyAlignment="1">
      <alignment vertical="center" wrapText="1"/>
    </xf>
    <xf numFmtId="0" fontId="19" fillId="0" borderId="112" xfId="17" applyFont="1" applyBorder="1"/>
    <xf numFmtId="167" fontId="23" fillId="0" borderId="10" xfId="17" applyNumberFormat="1" applyFont="1" applyBorder="1" applyAlignment="1">
      <alignment horizontal="left" wrapText="1"/>
    </xf>
    <xf numFmtId="0" fontId="23" fillId="0" borderId="3" xfId="17" applyFont="1" applyBorder="1" applyAlignment="1">
      <alignment vertical="top" wrapText="1"/>
    </xf>
    <xf numFmtId="0" fontId="23" fillId="5" borderId="2" xfId="17" applyFont="1" applyFill="1" applyBorder="1" applyAlignment="1">
      <alignment horizontal="center" wrapText="1"/>
    </xf>
    <xf numFmtId="0" fontId="23" fillId="0" borderId="45" xfId="17" applyFont="1" applyBorder="1" applyAlignment="1">
      <alignment horizontal="center"/>
    </xf>
    <xf numFmtId="0" fontId="19" fillId="3" borderId="4" xfId="17" applyFont="1" applyFill="1" applyBorder="1"/>
    <xf numFmtId="0" fontId="19" fillId="3" borderId="3" xfId="17" applyFont="1" applyFill="1" applyBorder="1"/>
    <xf numFmtId="0" fontId="19" fillId="3" borderId="8" xfId="17" applyFont="1" applyFill="1" applyBorder="1"/>
    <xf numFmtId="0" fontId="19" fillId="5" borderId="3" xfId="10" applyFont="1" applyFill="1" applyBorder="1" applyAlignment="1">
      <alignment horizontal="center"/>
    </xf>
    <xf numFmtId="0" fontId="23" fillId="5" borderId="3" xfId="10" applyFont="1" applyFill="1" applyBorder="1" applyAlignment="1">
      <alignment horizontal="center"/>
    </xf>
    <xf numFmtId="0" fontId="19" fillId="0" borderId="3" xfId="0" applyFont="1" applyBorder="1" applyAlignment="1">
      <alignment vertical="top"/>
    </xf>
    <xf numFmtId="0" fontId="19" fillId="0" borderId="3" xfId="10" applyFont="1" applyBorder="1"/>
    <xf numFmtId="0" fontId="19" fillId="0" borderId="3" xfId="17" applyFont="1" applyBorder="1" applyAlignment="1">
      <alignment vertical="top"/>
    </xf>
    <xf numFmtId="0" fontId="19" fillId="2" borderId="3" xfId="17" applyFont="1" applyFill="1" applyBorder="1" applyAlignment="1">
      <alignment horizontal="left" vertical="top" wrapText="1"/>
    </xf>
    <xf numFmtId="0" fontId="23" fillId="0" borderId="3" xfId="0" applyFont="1" applyBorder="1" applyAlignment="1">
      <alignment horizontal="center" vertical="top" wrapText="1"/>
    </xf>
    <xf numFmtId="0" fontId="19" fillId="0" borderId="3" xfId="17" applyFont="1" applyBorder="1" applyAlignment="1">
      <alignment horizontal="left"/>
    </xf>
    <xf numFmtId="0" fontId="19" fillId="0" borderId="3" xfId="10" applyFont="1" applyBorder="1" applyAlignment="1">
      <alignment wrapText="1"/>
    </xf>
    <xf numFmtId="0" fontId="19" fillId="0" borderId="3" xfId="10" applyFont="1" applyBorder="1" applyAlignment="1">
      <alignment vertical="top" wrapText="1"/>
    </xf>
    <xf numFmtId="0" fontId="19" fillId="0" borderId="3" xfId="10" applyFont="1" applyBorder="1" applyAlignment="1">
      <alignment horizontal="left" vertical="top" wrapText="1"/>
    </xf>
    <xf numFmtId="167" fontId="19" fillId="0" borderId="8" xfId="17" applyNumberFormat="1" applyFont="1" applyBorder="1" applyAlignment="1">
      <alignment horizontal="left"/>
    </xf>
    <xf numFmtId="0" fontId="19" fillId="0" borderId="3" xfId="17" applyFont="1" applyBorder="1" applyAlignment="1">
      <alignment horizontal="left" wrapText="1"/>
    </xf>
    <xf numFmtId="0" fontId="23" fillId="0" borderId="18" xfId="17" applyFont="1" applyBorder="1" applyAlignment="1">
      <alignment horizontal="center" wrapText="1"/>
    </xf>
    <xf numFmtId="167" fontId="19" fillId="0" borderId="22" xfId="17" applyNumberFormat="1" applyFont="1" applyBorder="1" applyAlignment="1">
      <alignment horizontal="left"/>
    </xf>
    <xf numFmtId="167" fontId="19" fillId="0" borderId="9" xfId="17" applyNumberFormat="1" applyFont="1" applyBorder="1" applyAlignment="1">
      <alignment horizontal="left"/>
    </xf>
    <xf numFmtId="167" fontId="19" fillId="0" borderId="10" xfId="17" applyNumberFormat="1" applyFont="1" applyBorder="1" applyAlignment="1">
      <alignment horizontal="left"/>
    </xf>
    <xf numFmtId="0" fontId="19" fillId="0" borderId="3" xfId="17" applyFont="1" applyBorder="1" applyAlignment="1">
      <alignment vertical="top" wrapText="1"/>
    </xf>
    <xf numFmtId="1" fontId="19" fillId="0" borderId="110" xfId="3" applyNumberFormat="1" applyFont="1" applyFill="1" applyBorder="1" applyAlignment="1">
      <alignment horizontal="center"/>
    </xf>
    <xf numFmtId="0" fontId="11" fillId="0" borderId="1" xfId="17" applyFont="1" applyBorder="1" applyAlignment="1">
      <alignment horizontal="left"/>
    </xf>
    <xf numFmtId="0" fontId="19" fillId="0" borderId="1" xfId="17" applyFont="1" applyBorder="1" applyAlignment="1">
      <alignment horizontal="left" wrapText="1"/>
    </xf>
    <xf numFmtId="1" fontId="9" fillId="0" borderId="110" xfId="3" applyNumberFormat="1" applyFont="1" applyFill="1" applyBorder="1" applyAlignment="1">
      <alignment horizontal="center"/>
    </xf>
    <xf numFmtId="0" fontId="19" fillId="0" borderId="1" xfId="10" applyFont="1" applyBorder="1" applyAlignment="1">
      <alignment vertical="top" wrapText="1"/>
    </xf>
    <xf numFmtId="0" fontId="23" fillId="0" borderId="2" xfId="17" applyFont="1" applyBorder="1" applyAlignment="1">
      <alignment vertical="top" wrapText="1"/>
    </xf>
    <xf numFmtId="0" fontId="19" fillId="0" borderId="110" xfId="17" applyFont="1" applyBorder="1" applyAlignment="1">
      <alignment vertical="top"/>
    </xf>
    <xf numFmtId="0" fontId="23" fillId="0" borderId="1" xfId="17" applyFont="1" applyBorder="1" applyAlignment="1">
      <alignment horizontal="center" vertical="top" wrapText="1"/>
    </xf>
    <xf numFmtId="0" fontId="23" fillId="0" borderId="23" xfId="10" applyFont="1" applyBorder="1" applyAlignment="1">
      <alignment horizontal="center" vertical="top" wrapText="1"/>
    </xf>
    <xf numFmtId="0" fontId="19" fillId="0" borderId="6" xfId="17" applyFont="1" applyBorder="1" applyAlignment="1">
      <alignment horizontal="left"/>
    </xf>
    <xf numFmtId="0" fontId="23" fillId="0" borderId="24" xfId="10" applyFont="1" applyBorder="1" applyAlignment="1">
      <alignment horizontal="center" vertical="top" wrapText="1"/>
    </xf>
    <xf numFmtId="1" fontId="19" fillId="0" borderId="110" xfId="3" applyNumberFormat="1" applyFont="1" applyFill="1" applyBorder="1" applyAlignment="1">
      <alignment horizontal="left"/>
    </xf>
    <xf numFmtId="1" fontId="23" fillId="0" borderId="51" xfId="3" applyNumberFormat="1" applyFont="1" applyFill="1" applyBorder="1" applyAlignment="1">
      <alignment horizontal="center"/>
    </xf>
    <xf numFmtId="0" fontId="19" fillId="0" borderId="2" xfId="17" applyFont="1" applyBorder="1" applyAlignment="1">
      <alignment horizontal="left"/>
    </xf>
    <xf numFmtId="167" fontId="19" fillId="0" borderId="37" xfId="17" applyNumberFormat="1" applyFont="1" applyBorder="1" applyAlignment="1">
      <alignment horizontal="left"/>
    </xf>
    <xf numFmtId="167" fontId="19" fillId="0" borderId="124" xfId="17" applyNumberFormat="1" applyFont="1" applyBorder="1" applyAlignment="1">
      <alignment horizontal="left"/>
    </xf>
    <xf numFmtId="0" fontId="20" fillId="0" borderId="125" xfId="0" applyFont="1" applyBorder="1"/>
    <xf numFmtId="0" fontId="20" fillId="0" borderId="126" xfId="0" applyFont="1" applyBorder="1"/>
    <xf numFmtId="0" fontId="19" fillId="5" borderId="129" xfId="0" applyFont="1" applyFill="1" applyBorder="1" applyAlignment="1">
      <alignment horizontal="center" vertical="top" wrapText="1"/>
    </xf>
    <xf numFmtId="0" fontId="19" fillId="5" borderId="130" xfId="0" applyFont="1" applyFill="1" applyBorder="1" applyAlignment="1">
      <alignment horizontal="center" vertical="top" wrapText="1"/>
    </xf>
    <xf numFmtId="0" fontId="19" fillId="0" borderId="18"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8" xfId="0" applyFont="1" applyBorder="1"/>
    <xf numFmtId="0" fontId="1" fillId="0" borderId="0" xfId="0" applyFont="1" applyAlignment="1">
      <alignment horizontal="center"/>
    </xf>
    <xf numFmtId="0" fontId="19" fillId="5" borderId="24" xfId="17" applyFont="1" applyFill="1" applyBorder="1" applyAlignment="1">
      <alignment horizontal="center"/>
    </xf>
    <xf numFmtId="0" fontId="19" fillId="0" borderId="0" xfId="19" applyFont="1" applyAlignment="1">
      <alignment horizontal="left" vertical="top"/>
    </xf>
    <xf numFmtId="0" fontId="19" fillId="0" borderId="102" xfId="20" applyFont="1" applyBorder="1"/>
    <xf numFmtId="0" fontId="4" fillId="0" borderId="102" xfId="17" applyFont="1" applyBorder="1"/>
    <xf numFmtId="0" fontId="4" fillId="0" borderId="102" xfId="17" applyFont="1" applyBorder="1" applyAlignment="1">
      <alignment horizontal="left"/>
    </xf>
    <xf numFmtId="0" fontId="19" fillId="0" borderId="24" xfId="17" applyFont="1" applyBorder="1" applyAlignment="1">
      <alignment horizontal="left" vertical="top"/>
    </xf>
    <xf numFmtId="0" fontId="19" fillId="0" borderId="12" xfId="17" applyFont="1" applyBorder="1" applyAlignment="1">
      <alignment horizontal="left" vertical="top"/>
    </xf>
    <xf numFmtId="0" fontId="19" fillId="0" borderId="22" xfId="20" applyFont="1" applyBorder="1" applyAlignment="1">
      <alignment wrapText="1"/>
    </xf>
    <xf numFmtId="0" fontId="19" fillId="0" borderId="10" xfId="20" applyFont="1" applyBorder="1" applyAlignment="1">
      <alignment wrapText="1"/>
    </xf>
    <xf numFmtId="167" fontId="23" fillId="0" borderId="102" xfId="17" applyNumberFormat="1" applyFont="1" applyBorder="1"/>
    <xf numFmtId="1" fontId="7" fillId="0" borderId="0" xfId="3" applyNumberFormat="1" applyFont="1" applyFill="1" applyBorder="1" applyAlignment="1">
      <alignment horizontal="left" vertical="center"/>
    </xf>
    <xf numFmtId="1" fontId="12" fillId="0" borderId="0" xfId="3" applyNumberFormat="1" applyFont="1" applyFill="1" applyBorder="1" applyAlignment="1">
      <alignment horizontal="left" vertical="center"/>
    </xf>
    <xf numFmtId="0" fontId="11" fillId="0" borderId="0" xfId="17" applyFont="1" applyAlignment="1">
      <alignment vertical="center"/>
    </xf>
    <xf numFmtId="167" fontId="23" fillId="0" borderId="0" xfId="17" applyNumberFormat="1" applyFont="1" applyAlignment="1">
      <alignment horizontal="center" vertical="top" wrapText="1"/>
    </xf>
    <xf numFmtId="0" fontId="19" fillId="0" borderId="0" xfId="17" applyFont="1" applyAlignment="1">
      <alignment horizontal="left" vertical="center" wrapText="1"/>
    </xf>
    <xf numFmtId="0" fontId="19" fillId="0" borderId="0" xfId="17" applyFont="1" applyAlignment="1">
      <alignment vertical="center" wrapText="1"/>
    </xf>
    <xf numFmtId="1" fontId="19" fillId="0" borderId="110" xfId="3" applyNumberFormat="1" applyFont="1" applyFill="1" applyBorder="1" applyAlignment="1">
      <alignment vertical="top" wrapText="1"/>
    </xf>
    <xf numFmtId="1" fontId="19" fillId="0" borderId="0" xfId="3" applyNumberFormat="1" applyFont="1" applyFill="1" applyBorder="1" applyAlignment="1">
      <alignment vertical="top" wrapText="1"/>
    </xf>
    <xf numFmtId="0" fontId="19" fillId="2" borderId="110" xfId="17" applyFont="1" applyFill="1" applyBorder="1" applyAlignment="1">
      <alignment vertical="top"/>
    </xf>
    <xf numFmtId="0" fontId="19" fillId="2" borderId="0" xfId="17" applyFont="1" applyFill="1" applyAlignment="1">
      <alignment vertical="top"/>
    </xf>
    <xf numFmtId="0" fontId="19" fillId="2" borderId="3" xfId="17" applyFont="1" applyFill="1" applyBorder="1" applyAlignment="1">
      <alignment vertical="top"/>
    </xf>
    <xf numFmtId="0" fontId="19" fillId="2" borderId="110" xfId="17" applyFont="1" applyFill="1" applyBorder="1" applyAlignment="1">
      <alignment vertical="top" wrapText="1"/>
    </xf>
    <xf numFmtId="0" fontId="19" fillId="0" borderId="0" xfId="17" applyFont="1" applyAlignment="1">
      <alignment horizontal="left" vertical="top"/>
    </xf>
    <xf numFmtId="0" fontId="19" fillId="2" borderId="0" xfId="0" applyFont="1" applyFill="1" applyAlignment="1">
      <alignment vertical="top"/>
    </xf>
    <xf numFmtId="1" fontId="23" fillId="0" borderId="105" xfId="3" applyNumberFormat="1" applyFont="1" applyFill="1" applyBorder="1" applyAlignment="1">
      <alignment wrapText="1"/>
    </xf>
    <xf numFmtId="167" fontId="19" fillId="0" borderId="104" xfId="17" applyNumberFormat="1" applyFont="1" applyBorder="1" applyAlignment="1">
      <alignment horizontal="center"/>
    </xf>
    <xf numFmtId="0" fontId="10" fillId="0" borderId="0" xfId="17" applyFont="1" applyAlignment="1">
      <alignment vertical="top"/>
    </xf>
    <xf numFmtId="0" fontId="19" fillId="0" borderId="3" xfId="17" applyFont="1" applyBorder="1" applyAlignment="1">
      <alignment horizontal="center"/>
    </xf>
    <xf numFmtId="0" fontId="20" fillId="0" borderId="104" xfId="17" applyFont="1" applyBorder="1"/>
    <xf numFmtId="0" fontId="10" fillId="0" borderId="0" xfId="17" applyFont="1" applyAlignment="1">
      <alignment horizontal="center" vertical="top"/>
    </xf>
    <xf numFmtId="1" fontId="23" fillId="0" borderId="105" xfId="3" applyNumberFormat="1" applyFont="1" applyFill="1" applyBorder="1" applyAlignment="1">
      <alignment horizontal="center" wrapText="1"/>
    </xf>
    <xf numFmtId="0" fontId="19" fillId="0" borderId="111" xfId="17" applyFont="1" applyBorder="1"/>
    <xf numFmtId="0" fontId="20" fillId="0" borderId="106" xfId="17" applyFont="1" applyBorder="1"/>
    <xf numFmtId="0" fontId="19" fillId="0" borderId="107" xfId="17" applyFont="1" applyBorder="1" applyAlignment="1">
      <alignment horizontal="left" vertical="center" wrapText="1"/>
    </xf>
    <xf numFmtId="1" fontId="23" fillId="0" borderId="44" xfId="3" applyNumberFormat="1" applyFont="1" applyFill="1" applyBorder="1" applyAlignment="1">
      <alignment horizontal="center"/>
    </xf>
    <xf numFmtId="166" fontId="12" fillId="0" borderId="43" xfId="15" applyNumberFormat="1" applyFont="1" applyBorder="1" applyAlignment="1">
      <alignment horizontal="center" vertical="center"/>
    </xf>
    <xf numFmtId="0" fontId="15" fillId="2" borderId="3" xfId="17" applyFont="1" applyFill="1" applyBorder="1"/>
    <xf numFmtId="166" fontId="12" fillId="0" borderId="16" xfId="15" applyNumberFormat="1" applyFont="1" applyBorder="1" applyAlignment="1">
      <alignment horizontal="center" vertical="center"/>
    </xf>
    <xf numFmtId="0" fontId="15" fillId="2" borderId="8" xfId="17" applyFont="1" applyFill="1" applyBorder="1"/>
    <xf numFmtId="166" fontId="12" fillId="0" borderId="15" xfId="15" applyNumberFormat="1" applyFont="1" applyBorder="1" applyAlignment="1">
      <alignment horizontal="center" vertical="center"/>
    </xf>
    <xf numFmtId="0" fontId="19" fillId="2" borderId="3" xfId="17" applyFont="1" applyFill="1" applyBorder="1" applyAlignment="1">
      <alignment vertical="center"/>
    </xf>
    <xf numFmtId="0" fontId="20" fillId="0" borderId="0" xfId="19" applyFont="1"/>
    <xf numFmtId="0" fontId="19" fillId="0" borderId="0" xfId="10" applyFont="1"/>
    <xf numFmtId="0" fontId="19" fillId="0" borderId="0" xfId="10" applyFont="1" applyAlignment="1">
      <alignment horizontal="left"/>
    </xf>
    <xf numFmtId="0" fontId="1" fillId="0" borderId="0" xfId="19"/>
    <xf numFmtId="0" fontId="19" fillId="0" borderId="0" xfId="10" applyFont="1" applyAlignment="1">
      <alignment vertical="top"/>
    </xf>
    <xf numFmtId="0" fontId="33" fillId="0" borderId="0" xfId="10" applyFont="1" applyAlignment="1">
      <alignment vertical="top"/>
    </xf>
    <xf numFmtId="167" fontId="23" fillId="0" borderId="16" xfId="17" applyNumberFormat="1" applyFont="1" applyBorder="1" applyAlignment="1">
      <alignment horizontal="left"/>
    </xf>
    <xf numFmtId="0" fontId="23" fillId="0" borderId="8" xfId="19" applyFont="1" applyBorder="1"/>
    <xf numFmtId="0" fontId="19" fillId="0" borderId="43" xfId="19" applyFont="1" applyBorder="1" applyAlignment="1">
      <alignment wrapText="1"/>
    </xf>
    <xf numFmtId="0" fontId="23" fillId="0" borderId="2" xfId="1" applyFont="1" applyFill="1" applyBorder="1" applyAlignment="1">
      <alignment vertical="center" wrapText="1"/>
    </xf>
    <xf numFmtId="0" fontId="19" fillId="0" borderId="3" xfId="19" applyFont="1" applyBorder="1"/>
    <xf numFmtId="0" fontId="23" fillId="0" borderId="43" xfId="1" quotePrefix="1" applyFont="1" applyFill="1" applyBorder="1" applyAlignment="1">
      <alignment wrapText="1"/>
    </xf>
    <xf numFmtId="0" fontId="19" fillId="0" borderId="3" xfId="19" applyFont="1" applyBorder="1" applyAlignment="1">
      <alignment vertical="top" wrapText="1"/>
    </xf>
    <xf numFmtId="0" fontId="19" fillId="0" borderId="68" xfId="19" applyFont="1" applyBorder="1" applyAlignment="1">
      <alignment wrapText="1"/>
    </xf>
    <xf numFmtId="0" fontId="23" fillId="0" borderId="53" xfId="1" applyFont="1" applyFill="1" applyBorder="1" applyAlignment="1">
      <alignment vertical="center" wrapText="1"/>
    </xf>
    <xf numFmtId="0" fontId="23" fillId="0" borderId="44" xfId="1" applyFont="1" applyFill="1" applyBorder="1" applyAlignment="1">
      <alignment horizontal="center" vertical="center" wrapText="1"/>
    </xf>
    <xf numFmtId="0" fontId="19" fillId="0" borderId="14" xfId="18" applyFont="1" applyFill="1" applyBorder="1" applyAlignment="1">
      <alignment horizontal="center" vertical="center" wrapText="1"/>
    </xf>
    <xf numFmtId="0" fontId="19" fillId="0" borderId="36" xfId="18" applyFont="1" applyFill="1" applyBorder="1" applyAlignment="1">
      <alignment horizontal="left" vertical="center" wrapText="1"/>
    </xf>
    <xf numFmtId="0" fontId="19" fillId="0" borderId="21" xfId="18" applyFont="1" applyFill="1" applyBorder="1" applyAlignment="1">
      <alignment horizontal="left" vertical="center" wrapText="1"/>
    </xf>
    <xf numFmtId="0" fontId="19" fillId="0" borderId="23" xfId="18" applyFont="1" applyFill="1" applyBorder="1" applyAlignment="1">
      <alignment horizontal="left" vertical="center" wrapText="1"/>
    </xf>
    <xf numFmtId="0" fontId="19" fillId="0" borderId="6" xfId="18" applyFont="1" applyFill="1" applyBorder="1" applyAlignment="1">
      <alignment horizontal="left" vertical="center" wrapText="1"/>
    </xf>
    <xf numFmtId="0" fontId="23" fillId="0" borderId="6" xfId="1" applyFont="1" applyFill="1" applyBorder="1" applyAlignment="1">
      <alignment horizontal="center" vertical="center" wrapText="1"/>
    </xf>
    <xf numFmtId="0" fontId="23" fillId="0" borderId="23" xfId="1" applyFont="1" applyFill="1" applyBorder="1" applyAlignment="1">
      <alignment horizontal="center" vertical="center" wrapText="1"/>
    </xf>
    <xf numFmtId="0" fontId="19" fillId="0" borderId="15" xfId="18" applyFont="1" applyFill="1" applyBorder="1" applyAlignment="1">
      <alignment horizontal="center" vertical="center" wrapText="1"/>
    </xf>
    <xf numFmtId="0" fontId="19" fillId="0" borderId="36" xfId="10" applyFont="1" applyBorder="1" applyAlignment="1">
      <alignment horizontal="left" vertical="center" wrapText="1"/>
    </xf>
    <xf numFmtId="0" fontId="23" fillId="0" borderId="4" xfId="1" applyFont="1" applyFill="1" applyBorder="1" applyAlignment="1">
      <alignment horizontal="center" vertical="center" wrapText="1"/>
    </xf>
    <xf numFmtId="0" fontId="23" fillId="0" borderId="37" xfId="1" applyFont="1" applyFill="1" applyBorder="1" applyAlignment="1">
      <alignment horizontal="center" vertical="center" wrapText="1"/>
    </xf>
    <xf numFmtId="0" fontId="19" fillId="0" borderId="24" xfId="18" applyFont="1" applyFill="1" applyBorder="1" applyAlignment="1">
      <alignment horizontal="left" vertical="center" wrapText="1"/>
    </xf>
    <xf numFmtId="0" fontId="19" fillId="0" borderId="3" xfId="19" applyFont="1" applyBorder="1" applyAlignment="1">
      <alignment wrapText="1"/>
    </xf>
    <xf numFmtId="0" fontId="19" fillId="0" borderId="130" xfId="18" applyFont="1" applyFill="1" applyBorder="1" applyAlignment="1">
      <alignment horizontal="left" vertical="center" wrapText="1"/>
    </xf>
    <xf numFmtId="0" fontId="19" fillId="0" borderId="36" xfId="10" applyFont="1" applyBorder="1" applyAlignment="1">
      <alignment vertical="center" wrapText="1"/>
    </xf>
    <xf numFmtId="0" fontId="19" fillId="0" borderId="3" xfId="19" applyFont="1" applyBorder="1" applyAlignment="1">
      <alignment vertical="top"/>
    </xf>
    <xf numFmtId="0" fontId="19" fillId="0" borderId="130" xfId="10" applyFont="1" applyBorder="1" applyAlignment="1">
      <alignment horizontal="left" vertical="center"/>
    </xf>
    <xf numFmtId="0" fontId="19" fillId="0" borderId="36" xfId="10" applyFont="1" applyBorder="1" applyAlignment="1">
      <alignment horizontal="left" vertical="center"/>
    </xf>
    <xf numFmtId="0" fontId="19" fillId="0" borderId="41" xfId="10" applyFont="1" applyBorder="1" applyAlignment="1">
      <alignment horizontal="left" vertical="center"/>
    </xf>
    <xf numFmtId="0" fontId="19" fillId="0" borderId="37" xfId="10" applyFont="1" applyBorder="1" applyAlignment="1">
      <alignment horizontal="left" vertical="center"/>
    </xf>
    <xf numFmtId="0" fontId="19" fillId="0" borderId="4" xfId="10" applyFont="1" applyBorder="1" applyAlignment="1">
      <alignment horizontal="left" vertical="center"/>
    </xf>
    <xf numFmtId="0" fontId="19" fillId="0" borderId="24" xfId="10" applyFont="1" applyBorder="1" applyAlignment="1">
      <alignment horizontal="left" vertical="center"/>
    </xf>
    <xf numFmtId="0" fontId="19" fillId="0" borderId="21" xfId="10" applyFont="1" applyBorder="1" applyAlignment="1">
      <alignment horizontal="left" vertical="center"/>
    </xf>
    <xf numFmtId="0" fontId="19" fillId="0" borderId="23" xfId="10" applyFont="1" applyBorder="1" applyAlignment="1">
      <alignment horizontal="left" vertical="center"/>
    </xf>
    <xf numFmtId="0" fontId="19" fillId="0" borderId="6" xfId="10" applyFont="1" applyBorder="1" applyAlignment="1">
      <alignment horizontal="left" vertical="center"/>
    </xf>
    <xf numFmtId="0" fontId="39" fillId="0" borderId="0" xfId="19" applyFont="1"/>
    <xf numFmtId="0" fontId="19" fillId="0" borderId="22" xfId="18" applyFont="1" applyFill="1" applyBorder="1" applyAlignment="1">
      <alignment horizontal="center" vertical="center" wrapText="1"/>
    </xf>
    <xf numFmtId="0" fontId="19" fillId="0" borderId="22" xfId="10" applyFont="1" applyBorder="1" applyAlignment="1">
      <alignment horizontal="left" vertical="center"/>
    </xf>
    <xf numFmtId="0" fontId="23" fillId="0" borderId="22" xfId="1" applyFont="1" applyFill="1" applyBorder="1" applyAlignment="1">
      <alignment horizontal="center" vertical="center" wrapText="1"/>
    </xf>
    <xf numFmtId="0" fontId="19" fillId="0" borderId="0" xfId="10" applyFont="1" applyAlignment="1">
      <alignment horizontal="left" vertical="center" wrapText="1"/>
    </xf>
    <xf numFmtId="0" fontId="19" fillId="0" borderId="3" xfId="19" applyFont="1" applyBorder="1" applyAlignment="1">
      <alignment horizontal="left" vertical="top" wrapText="1"/>
    </xf>
    <xf numFmtId="167" fontId="23" fillId="0" borderId="15" xfId="17" applyNumberFormat="1" applyFont="1" applyBorder="1" applyAlignment="1">
      <alignment horizontal="left" wrapText="1"/>
    </xf>
    <xf numFmtId="167" fontId="23" fillId="0" borderId="35" xfId="17" applyNumberFormat="1" applyFont="1" applyBorder="1" applyAlignment="1">
      <alignment horizontal="left" wrapText="1"/>
    </xf>
    <xf numFmtId="167" fontId="23" fillId="0" borderId="8" xfId="17" applyNumberFormat="1" applyFont="1" applyBorder="1" applyAlignment="1">
      <alignment horizontal="left"/>
    </xf>
    <xf numFmtId="1" fontId="9" fillId="0" borderId="10" xfId="3" applyNumberFormat="1" applyFont="1" applyFill="1" applyBorder="1" applyAlignment="1">
      <alignment horizontal="center"/>
    </xf>
    <xf numFmtId="1" fontId="30" fillId="0" borderId="1" xfId="3" applyNumberFormat="1" applyFont="1" applyFill="1" applyBorder="1" applyAlignment="1">
      <alignment vertical="top" wrapText="1"/>
    </xf>
    <xf numFmtId="1" fontId="30" fillId="0" borderId="2" xfId="3" applyNumberFormat="1" applyFont="1" applyFill="1" applyBorder="1" applyAlignment="1">
      <alignment vertical="top" wrapText="1"/>
    </xf>
    <xf numFmtId="1" fontId="30" fillId="0" borderId="3" xfId="3" applyNumberFormat="1" applyFont="1" applyFill="1" applyBorder="1" applyAlignment="1">
      <alignment vertical="top" wrapText="1"/>
    </xf>
    <xf numFmtId="1" fontId="19" fillId="0" borderId="2" xfId="3" applyNumberFormat="1" applyFont="1" applyFill="1" applyBorder="1" applyAlignment="1">
      <alignment horizontal="center"/>
    </xf>
    <xf numFmtId="1" fontId="19" fillId="0" borderId="3" xfId="3" applyNumberFormat="1" applyFont="1" applyFill="1" applyBorder="1" applyAlignment="1">
      <alignment horizontal="center"/>
    </xf>
    <xf numFmtId="0" fontId="19" fillId="0" borderId="3" xfId="17" applyFont="1" applyBorder="1" applyAlignment="1">
      <alignment horizontal="center" vertical="center"/>
    </xf>
    <xf numFmtId="0" fontId="19" fillId="0" borderId="1" xfId="17" applyFont="1" applyBorder="1" applyAlignment="1">
      <alignment horizontal="center" vertical="center"/>
    </xf>
    <xf numFmtId="1" fontId="23" fillId="0" borderId="2" xfId="3" applyNumberFormat="1" applyFont="1" applyFill="1" applyBorder="1" applyAlignment="1">
      <alignment vertical="top" wrapText="1"/>
    </xf>
    <xf numFmtId="0" fontId="19" fillId="0" borderId="23" xfId="17" applyFont="1" applyBorder="1" applyAlignment="1">
      <alignment horizontal="center" vertical="center"/>
    </xf>
    <xf numFmtId="0" fontId="10" fillId="0" borderId="24" xfId="17" applyFont="1" applyBorder="1" applyAlignment="1">
      <alignment vertical="top"/>
    </xf>
    <xf numFmtId="1" fontId="23" fillId="0" borderId="12" xfId="3" applyNumberFormat="1" applyFont="1" applyFill="1" applyBorder="1" applyAlignment="1">
      <alignment vertical="top" wrapText="1"/>
    </xf>
    <xf numFmtId="1" fontId="23" fillId="0" borderId="6" xfId="3" applyNumberFormat="1" applyFont="1" applyFill="1" applyBorder="1" applyAlignment="1">
      <alignment horizontal="center" wrapText="1"/>
    </xf>
    <xf numFmtId="0" fontId="23" fillId="0" borderId="44" xfId="17" applyFont="1" applyBorder="1" applyAlignment="1">
      <alignment horizontal="center"/>
    </xf>
    <xf numFmtId="1" fontId="23" fillId="0" borderId="52" xfId="3" applyNumberFormat="1" applyFont="1" applyFill="1" applyBorder="1" applyAlignment="1">
      <alignment horizontal="center"/>
    </xf>
    <xf numFmtId="1" fontId="23" fillId="0" borderId="45" xfId="3" applyNumberFormat="1" applyFont="1" applyFill="1" applyBorder="1" applyAlignment="1">
      <alignment horizontal="center"/>
    </xf>
    <xf numFmtId="1" fontId="23" fillId="0" borderId="18" xfId="3" applyNumberFormat="1" applyFont="1" applyFill="1" applyBorder="1" applyAlignment="1">
      <alignment horizontal="center"/>
    </xf>
    <xf numFmtId="1" fontId="23" fillId="0" borderId="53" xfId="3" applyNumberFormat="1" applyFont="1" applyFill="1" applyBorder="1" applyAlignment="1">
      <alignment horizontal="center" wrapText="1"/>
    </xf>
    <xf numFmtId="0" fontId="1" fillId="0" borderId="0" xfId="13" applyFont="1"/>
    <xf numFmtId="0" fontId="7" fillId="0" borderId="0" xfId="13" applyFont="1"/>
    <xf numFmtId="0" fontId="7" fillId="0" borderId="0" xfId="0" applyFont="1"/>
    <xf numFmtId="0" fontId="23" fillId="2" borderId="8" xfId="17" applyFont="1" applyFill="1" applyBorder="1" applyAlignment="1">
      <alignment horizontal="center" vertical="center"/>
    </xf>
    <xf numFmtId="0" fontId="19" fillId="0" borderId="5" xfId="13" applyFont="1" applyBorder="1" applyAlignment="1">
      <alignment horizontal="center" vertical="top" wrapText="1"/>
    </xf>
    <xf numFmtId="0" fontId="19" fillId="0" borderId="4" xfId="20" applyFont="1" applyBorder="1" applyAlignment="1">
      <alignment horizontal="center" vertical="center"/>
    </xf>
    <xf numFmtId="0" fontId="19" fillId="0" borderId="6" xfId="0" applyFont="1" applyBorder="1" applyAlignment="1">
      <alignment horizontal="left" vertical="center" wrapText="1"/>
    </xf>
    <xf numFmtId="0" fontId="19" fillId="0" borderId="4" xfId="13" applyFont="1" applyBorder="1" applyAlignment="1">
      <alignment horizontal="left" vertical="top" wrapText="1"/>
    </xf>
    <xf numFmtId="0" fontId="19" fillId="0" borderId="4" xfId="0" applyFont="1" applyBorder="1" applyAlignment="1">
      <alignment horizontal="left" vertical="top" wrapText="1"/>
    </xf>
    <xf numFmtId="0" fontId="1" fillId="0" borderId="0" xfId="21"/>
    <xf numFmtId="0" fontId="39" fillId="0" borderId="0" xfId="20" applyFont="1"/>
    <xf numFmtId="0" fontId="19" fillId="0" borderId="4" xfId="19" applyFont="1" applyBorder="1"/>
    <xf numFmtId="0" fontId="19" fillId="0" borderId="4" xfId="19" applyFont="1" applyBorder="1" applyAlignment="1">
      <alignment horizontal="left" vertical="top" wrapText="1"/>
    </xf>
    <xf numFmtId="0" fontId="19" fillId="0" borderId="4" xfId="20" applyFont="1" applyBorder="1" applyAlignment="1">
      <alignment horizontal="left" vertical="top" wrapText="1"/>
    </xf>
    <xf numFmtId="0" fontId="23" fillId="0" borderId="4" xfId="19" quotePrefix="1" applyFont="1" applyBorder="1"/>
    <xf numFmtId="0" fontId="19" fillId="0" borderId="4" xfId="19" applyFont="1" applyBorder="1" applyAlignment="1">
      <alignment wrapText="1"/>
    </xf>
    <xf numFmtId="0" fontId="19" fillId="0" borderId="4" xfId="20" applyFont="1" applyBorder="1"/>
    <xf numFmtId="0" fontId="19" fillId="0" borderId="4" xfId="19" applyFont="1" applyBorder="1" applyAlignment="1">
      <alignment horizontal="center" vertical="center" wrapText="1"/>
    </xf>
    <xf numFmtId="0" fontId="19" fillId="0" borderId="4" xfId="19" applyFont="1" applyBorder="1" applyAlignment="1">
      <alignment horizontal="center" vertical="center"/>
    </xf>
    <xf numFmtId="0" fontId="23" fillId="2" borderId="3" xfId="17" applyFont="1" applyFill="1" applyBorder="1" applyAlignment="1">
      <alignment horizontal="center" vertical="center"/>
    </xf>
    <xf numFmtId="167" fontId="23" fillId="0" borderId="4" xfId="17" applyNumberFormat="1" applyFont="1" applyBorder="1" applyAlignment="1">
      <alignment vertical="top"/>
    </xf>
    <xf numFmtId="0" fontId="4" fillId="0" borderId="0" xfId="19" applyFont="1"/>
    <xf numFmtId="0" fontId="7" fillId="0" borderId="0" xfId="20" applyFont="1"/>
    <xf numFmtId="0" fontId="7" fillId="0" borderId="0" xfId="19" applyFont="1"/>
    <xf numFmtId="0" fontId="7" fillId="0" borderId="0" xfId="21" applyFont="1"/>
    <xf numFmtId="0" fontId="30" fillId="5" borderId="0" xfId="0" applyFont="1" applyFill="1" applyAlignment="1">
      <alignment vertical="top" wrapText="1"/>
    </xf>
    <xf numFmtId="0" fontId="42" fillId="0" borderId="0" xfId="0" applyFont="1"/>
    <xf numFmtId="167" fontId="44" fillId="0" borderId="0" xfId="17" applyNumberFormat="1" applyFont="1" applyAlignment="1">
      <alignment horizontal="left"/>
    </xf>
    <xf numFmtId="0" fontId="42" fillId="0" borderId="4" xfId="0" applyFont="1" applyBorder="1"/>
    <xf numFmtId="0" fontId="42" fillId="5" borderId="37" xfId="0" applyFont="1" applyFill="1" applyBorder="1"/>
    <xf numFmtId="0" fontId="42" fillId="5" borderId="0" xfId="0" applyFont="1" applyFill="1"/>
    <xf numFmtId="0" fontId="42" fillId="5" borderId="5" xfId="0" applyFont="1" applyFill="1" applyBorder="1"/>
    <xf numFmtId="0" fontId="42" fillId="0" borderId="37" xfId="0" applyFont="1" applyBorder="1"/>
    <xf numFmtId="0" fontId="42" fillId="0" borderId="5" xfId="0" applyFont="1" applyBorder="1"/>
    <xf numFmtId="0" fontId="42" fillId="0" borderId="36" xfId="0" applyFont="1" applyBorder="1"/>
    <xf numFmtId="0" fontId="42" fillId="5" borderId="4" xfId="0" applyFont="1" applyFill="1" applyBorder="1"/>
    <xf numFmtId="0" fontId="42" fillId="5" borderId="36" xfId="0" applyFont="1" applyFill="1" applyBorder="1"/>
    <xf numFmtId="0" fontId="42" fillId="0" borderId="0" xfId="0" applyFont="1" applyAlignment="1">
      <alignment wrapText="1"/>
    </xf>
    <xf numFmtId="0" fontId="42" fillId="0" borderId="9" xfId="0" applyFont="1" applyBorder="1"/>
    <xf numFmtId="0" fontId="42" fillId="0" borderId="22" xfId="0" applyFont="1" applyBorder="1"/>
    <xf numFmtId="0" fontId="42" fillId="0" borderId="10" xfId="0" applyFont="1" applyBorder="1"/>
    <xf numFmtId="0" fontId="42" fillId="0" borderId="1" xfId="0" applyFont="1" applyBorder="1"/>
    <xf numFmtId="0" fontId="42" fillId="0" borderId="2" xfId="0" applyFont="1" applyBorder="1"/>
    <xf numFmtId="0" fontId="42" fillId="0" borderId="23" xfId="0" applyFont="1" applyBorder="1"/>
    <xf numFmtId="0" fontId="42" fillId="0" borderId="24" xfId="0" applyFont="1" applyBorder="1"/>
    <xf numFmtId="0" fontId="42" fillId="0" borderId="12" xfId="0" applyFont="1" applyBorder="1"/>
    <xf numFmtId="0" fontId="10" fillId="0" borderId="0" xfId="19" applyFont="1" applyAlignment="1">
      <alignment horizontal="left"/>
    </xf>
    <xf numFmtId="0" fontId="20" fillId="0" borderId="0" xfId="19" applyFont="1" applyAlignment="1">
      <alignment horizontal="left"/>
    </xf>
    <xf numFmtId="0" fontId="23" fillId="0" borderId="0" xfId="19" applyFont="1" applyAlignment="1">
      <alignment horizontal="left"/>
    </xf>
    <xf numFmtId="167" fontId="23" fillId="0" borderId="0" xfId="17" applyNumberFormat="1" applyFont="1" applyAlignment="1">
      <alignment horizontal="right"/>
    </xf>
    <xf numFmtId="0" fontId="53" fillId="0" borderId="0" xfId="19" applyFont="1"/>
    <xf numFmtId="0" fontId="23" fillId="0" borderId="24" xfId="19" applyFont="1" applyBorder="1" applyAlignment="1">
      <alignment horizontal="left"/>
    </xf>
    <xf numFmtId="167" fontId="23" fillId="2" borderId="8" xfId="17" applyNumberFormat="1" applyFont="1" applyFill="1" applyBorder="1" applyAlignment="1">
      <alignment horizontal="center" vertical="top"/>
    </xf>
    <xf numFmtId="0" fontId="19" fillId="0" borderId="104" xfId="19" applyFont="1" applyBorder="1" applyAlignment="1">
      <alignment horizontal="left" vertical="center" wrapText="1"/>
    </xf>
    <xf numFmtId="0" fontId="50" fillId="0" borderId="104" xfId="19" applyFont="1" applyBorder="1" applyAlignment="1">
      <alignment wrapText="1"/>
    </xf>
    <xf numFmtId="0" fontId="19" fillId="0" borderId="110" xfId="19" applyFont="1" applyBorder="1" applyAlignment="1">
      <alignment horizontal="left" vertical="top" wrapText="1"/>
    </xf>
    <xf numFmtId="0" fontId="19" fillId="0" borderId="105" xfId="19" applyFont="1" applyBorder="1" applyAlignment="1">
      <alignment horizontal="left" vertical="top" wrapText="1"/>
    </xf>
    <xf numFmtId="0" fontId="19" fillId="0" borderId="104" xfId="19" applyFont="1" applyBorder="1" applyAlignment="1">
      <alignment horizontal="left" vertical="top" wrapText="1"/>
    </xf>
    <xf numFmtId="0" fontId="54" fillId="0" borderId="105" xfId="19" applyFont="1" applyBorder="1" applyAlignment="1">
      <alignment wrapText="1"/>
    </xf>
    <xf numFmtId="0" fontId="19" fillId="0" borderId="110" xfId="19" applyFont="1" applyBorder="1" applyAlignment="1">
      <alignment horizontal="left"/>
    </xf>
    <xf numFmtId="0" fontId="50" fillId="0" borderId="105" xfId="19" applyFont="1" applyBorder="1" applyAlignment="1">
      <alignment wrapText="1"/>
    </xf>
    <xf numFmtId="0" fontId="20" fillId="0" borderId="104" xfId="19" applyFont="1" applyBorder="1" applyAlignment="1">
      <alignment horizontal="left"/>
    </xf>
    <xf numFmtId="0" fontId="19" fillId="0" borderId="106" xfId="19" applyFont="1" applyBorder="1" applyAlignment="1">
      <alignment horizontal="left" vertical="top" wrapText="1"/>
    </xf>
    <xf numFmtId="0" fontId="50" fillId="0" borderId="106" xfId="19" applyFont="1" applyBorder="1" applyAlignment="1">
      <alignment wrapText="1"/>
    </xf>
    <xf numFmtId="0" fontId="19" fillId="0" borderId="111" xfId="19" applyFont="1" applyBorder="1" applyAlignment="1">
      <alignment horizontal="left" vertical="top" wrapText="1"/>
    </xf>
    <xf numFmtId="0" fontId="23" fillId="0" borderId="53" xfId="19" applyFont="1" applyBorder="1" applyAlignment="1">
      <alignment horizontal="center" vertical="top" wrapText="1"/>
    </xf>
    <xf numFmtId="0" fontId="23" fillId="0" borderId="51" xfId="19" applyFont="1" applyBorder="1" applyAlignment="1">
      <alignment horizontal="left" vertical="top" wrapText="1"/>
    </xf>
    <xf numFmtId="0" fontId="19" fillId="0" borderId="0" xfId="19" applyFont="1" applyAlignment="1">
      <alignment horizontal="left"/>
    </xf>
    <xf numFmtId="0" fontId="4" fillId="0" borderId="0" xfId="19" applyFont="1" applyAlignment="1">
      <alignment horizontal="left"/>
    </xf>
    <xf numFmtId="0" fontId="1" fillId="0" borderId="0" xfId="19" applyAlignment="1">
      <alignment horizontal="left"/>
    </xf>
    <xf numFmtId="0" fontId="7" fillId="0" borderId="0" xfId="19" applyFont="1" applyAlignment="1">
      <alignment horizontal="left"/>
    </xf>
    <xf numFmtId="0" fontId="7" fillId="0" borderId="24" xfId="19" applyFont="1" applyBorder="1" applyAlignment="1">
      <alignment horizontal="left"/>
    </xf>
    <xf numFmtId="167" fontId="23" fillId="2" borderId="116" xfId="17" applyNumberFormat="1" applyFont="1" applyFill="1" applyBorder="1" applyAlignment="1">
      <alignment horizontal="center" vertical="top"/>
    </xf>
    <xf numFmtId="167" fontId="23" fillId="2" borderId="101" xfId="17" applyNumberFormat="1" applyFont="1" applyFill="1" applyBorder="1" applyAlignment="1">
      <alignment horizontal="left" vertical="top"/>
    </xf>
    <xf numFmtId="167" fontId="23" fillId="2" borderId="102" xfId="17" applyNumberFormat="1" applyFont="1" applyFill="1" applyBorder="1" applyAlignment="1">
      <alignment horizontal="left" vertical="top"/>
    </xf>
    <xf numFmtId="167" fontId="23" fillId="2" borderId="10" xfId="17" applyNumberFormat="1" applyFont="1" applyFill="1" applyBorder="1" applyAlignment="1">
      <alignment horizontal="center" vertical="top"/>
    </xf>
    <xf numFmtId="0" fontId="19" fillId="0" borderId="5" xfId="19" applyFont="1" applyBorder="1" applyAlignment="1">
      <alignment horizontal="center" vertical="center"/>
    </xf>
    <xf numFmtId="0" fontId="19" fillId="0" borderId="4" xfId="19" applyFont="1" applyBorder="1" applyAlignment="1">
      <alignment horizontal="center" wrapText="1"/>
    </xf>
    <xf numFmtId="0" fontId="19" fillId="0" borderId="37" xfId="19" applyFont="1" applyBorder="1" applyAlignment="1">
      <alignment horizontal="center" wrapText="1"/>
    </xf>
    <xf numFmtId="0" fontId="19" fillId="0" borderId="3" xfId="19" applyFont="1" applyBorder="1" applyAlignment="1">
      <alignment vertical="center"/>
    </xf>
    <xf numFmtId="0" fontId="54" fillId="0" borderId="3" xfId="19" applyFont="1" applyBorder="1" applyAlignment="1">
      <alignment wrapText="1"/>
    </xf>
    <xf numFmtId="0" fontId="50" fillId="0" borderId="4" xfId="19" applyFont="1" applyBorder="1" applyAlignment="1">
      <alignment horizontal="center" vertical="center"/>
    </xf>
    <xf numFmtId="0" fontId="50" fillId="0" borderId="3" xfId="19" applyFont="1" applyBorder="1"/>
    <xf numFmtId="0" fontId="50" fillId="0" borderId="0" xfId="19" applyFont="1"/>
    <xf numFmtId="0" fontId="50" fillId="0" borderId="104" xfId="19" applyFont="1" applyBorder="1"/>
    <xf numFmtId="0" fontId="8" fillId="0" borderId="110" xfId="19" applyFont="1" applyBorder="1" applyAlignment="1">
      <alignment horizontal="left"/>
    </xf>
    <xf numFmtId="0" fontId="19" fillId="0" borderId="3" xfId="19" applyFont="1" applyBorder="1" applyAlignment="1">
      <alignment horizontal="left" vertical="top"/>
    </xf>
    <xf numFmtId="0" fontId="19" fillId="0" borderId="110" xfId="19" applyFont="1" applyBorder="1" applyAlignment="1">
      <alignment horizontal="left" vertical="top"/>
    </xf>
    <xf numFmtId="0" fontId="1" fillId="0" borderId="3" xfId="19" applyBorder="1"/>
    <xf numFmtId="0" fontId="1" fillId="0" borderId="104" xfId="19" applyBorder="1"/>
    <xf numFmtId="0" fontId="19" fillId="0" borderId="104" xfId="19" applyFont="1" applyBorder="1" applyAlignment="1">
      <alignment vertical="top"/>
    </xf>
    <xf numFmtId="0" fontId="19" fillId="0" borderId="110" xfId="19" applyFont="1" applyBorder="1" applyAlignment="1">
      <alignment vertical="top"/>
    </xf>
    <xf numFmtId="0" fontId="19" fillId="0" borderId="104" xfId="19" applyFont="1" applyBorder="1" applyAlignment="1">
      <alignment horizontal="left" vertical="top"/>
    </xf>
    <xf numFmtId="0" fontId="19" fillId="0" borderId="111" xfId="19" applyFont="1" applyBorder="1" applyAlignment="1">
      <alignment vertical="top" wrapText="1"/>
    </xf>
    <xf numFmtId="0" fontId="19" fillId="0" borderId="106" xfId="19" applyFont="1" applyBorder="1" applyAlignment="1">
      <alignment vertical="top" wrapText="1"/>
    </xf>
    <xf numFmtId="0" fontId="50" fillId="0" borderId="6" xfId="19" applyFont="1" applyBorder="1"/>
    <xf numFmtId="0" fontId="50" fillId="0" borderId="107" xfId="19" applyFont="1" applyBorder="1"/>
    <xf numFmtId="0" fontId="19" fillId="0" borderId="107" xfId="19" applyFont="1" applyBorder="1" applyAlignment="1">
      <alignment horizontal="left" vertical="top"/>
    </xf>
    <xf numFmtId="0" fontId="19" fillId="0" borderId="106" xfId="19" applyFont="1" applyBorder="1" applyAlignment="1">
      <alignment horizontal="left" vertical="top"/>
    </xf>
    <xf numFmtId="0" fontId="19" fillId="0" borderId="111" xfId="19" applyFont="1" applyBorder="1" applyAlignment="1">
      <alignment horizontal="left" vertical="top"/>
    </xf>
    <xf numFmtId="0" fontId="23" fillId="0" borderId="156" xfId="19" applyFont="1" applyBorder="1" applyAlignment="1">
      <alignment vertical="top"/>
    </xf>
    <xf numFmtId="0" fontId="23" fillId="0" borderId="158" xfId="19" applyFont="1" applyBorder="1" applyAlignment="1">
      <alignment vertical="top"/>
    </xf>
    <xf numFmtId="0" fontId="23" fillId="0" borderId="53" xfId="19" applyFont="1" applyBorder="1" applyAlignment="1">
      <alignment vertical="top"/>
    </xf>
    <xf numFmtId="0" fontId="23" fillId="0" borderId="158" xfId="19" applyFont="1" applyBorder="1" applyAlignment="1">
      <alignment horizontal="center" vertical="top"/>
    </xf>
    <xf numFmtId="0" fontId="1" fillId="0" borderId="163" xfId="19" applyBorder="1"/>
    <xf numFmtId="0" fontId="19" fillId="0" borderId="115" xfId="19" applyFont="1" applyBorder="1" applyAlignment="1">
      <alignment vertical="top"/>
    </xf>
    <xf numFmtId="0" fontId="19" fillId="0" borderId="144" xfId="19" applyFont="1" applyBorder="1" applyAlignment="1">
      <alignment vertical="top"/>
    </xf>
    <xf numFmtId="0" fontId="1" fillId="0" borderId="164" xfId="19" applyBorder="1"/>
    <xf numFmtId="0" fontId="19" fillId="0" borderId="115" xfId="19" applyFont="1" applyBorder="1" applyAlignment="1">
      <alignment vertical="top" wrapText="1"/>
    </xf>
    <xf numFmtId="0" fontId="1" fillId="0" borderId="144" xfId="19" applyBorder="1"/>
    <xf numFmtId="0" fontId="1" fillId="0" borderId="115" xfId="19" applyBorder="1"/>
    <xf numFmtId="0" fontId="19" fillId="0" borderId="145" xfId="19" applyFont="1" applyBorder="1" applyAlignment="1">
      <alignment vertical="top" wrapText="1"/>
    </xf>
    <xf numFmtId="0" fontId="1" fillId="0" borderId="165" xfId="19" applyBorder="1"/>
    <xf numFmtId="0" fontId="19" fillId="0" borderId="144" xfId="19" applyFont="1" applyBorder="1" applyAlignment="1">
      <alignment vertical="top" wrapText="1"/>
    </xf>
    <xf numFmtId="0" fontId="19" fillId="0" borderId="144" xfId="19" applyFont="1" applyBorder="1" applyAlignment="1">
      <alignment horizontal="center" vertical="top" wrapText="1"/>
    </xf>
    <xf numFmtId="0" fontId="19" fillId="0" borderId="70" xfId="19" applyFont="1" applyBorder="1" applyAlignment="1">
      <alignment vertical="top" wrapText="1"/>
    </xf>
    <xf numFmtId="0" fontId="8" fillId="0" borderId="0" xfId="19" applyFont="1" applyAlignment="1">
      <alignment horizontal="left"/>
    </xf>
    <xf numFmtId="0" fontId="19" fillId="0" borderId="0" xfId="19" applyFont="1"/>
    <xf numFmtId="167" fontId="23" fillId="2" borderId="9" xfId="17" applyNumberFormat="1" applyFont="1" applyFill="1" applyBorder="1" applyAlignment="1">
      <alignment horizontal="center" vertical="top"/>
    </xf>
    <xf numFmtId="0" fontId="19" fillId="0" borderId="0" xfId="19" applyFont="1" applyAlignment="1">
      <alignment horizontal="left" vertical="top" wrapText="1"/>
    </xf>
    <xf numFmtId="0" fontId="19" fillId="0" borderId="104" xfId="19" applyFont="1" applyBorder="1" applyAlignment="1">
      <alignment wrapText="1"/>
    </xf>
    <xf numFmtId="0" fontId="19" fillId="0" borderId="0" xfId="19" applyFont="1" applyAlignment="1">
      <alignment wrapText="1"/>
    </xf>
    <xf numFmtId="0" fontId="19" fillId="0" borderId="5" xfId="19" applyFont="1" applyBorder="1" applyAlignment="1">
      <alignment horizontal="center"/>
    </xf>
    <xf numFmtId="0" fontId="19" fillId="0" borderId="4" xfId="19" applyFont="1" applyBorder="1" applyAlignment="1">
      <alignment horizontal="center"/>
    </xf>
    <xf numFmtId="0" fontId="19" fillId="0" borderId="111" xfId="19" applyFont="1" applyBorder="1" applyAlignment="1">
      <alignment wrapText="1"/>
    </xf>
    <xf numFmtId="0" fontId="19" fillId="0" borderId="107" xfId="19" applyFont="1" applyBorder="1" applyAlignment="1">
      <alignment horizontal="left" vertical="top" wrapText="1"/>
    </xf>
    <xf numFmtId="0" fontId="19" fillId="0" borderId="6" xfId="19" applyFont="1" applyBorder="1" applyAlignment="1">
      <alignment horizontal="left" vertical="top" wrapText="1"/>
    </xf>
    <xf numFmtId="0" fontId="23" fillId="0" borderId="156" xfId="19" applyFont="1" applyBorder="1" applyAlignment="1">
      <alignment horizontal="center" vertical="top" wrapText="1"/>
    </xf>
    <xf numFmtId="0" fontId="23" fillId="0" borderId="54" xfId="19" applyFont="1" applyBorder="1" applyAlignment="1">
      <alignment horizontal="center" vertical="top" wrapText="1"/>
    </xf>
    <xf numFmtId="0" fontId="23" fillId="0" borderId="4" xfId="19" applyFont="1" applyBorder="1" applyAlignment="1">
      <alignment horizontal="center" vertical="top" wrapText="1"/>
    </xf>
    <xf numFmtId="0" fontId="35" fillId="5" borderId="4" xfId="0" applyFont="1" applyFill="1" applyBorder="1"/>
    <xf numFmtId="0" fontId="56" fillId="0" borderId="0" xfId="10" applyFont="1"/>
    <xf numFmtId="167" fontId="44" fillId="2" borderId="0" xfId="17" applyNumberFormat="1" applyFont="1" applyFill="1" applyAlignment="1">
      <alignment horizontal="left"/>
    </xf>
    <xf numFmtId="0" fontId="57" fillId="0" borderId="0" xfId="10" applyFont="1"/>
    <xf numFmtId="167" fontId="23" fillId="5" borderId="10" xfId="17" applyNumberFormat="1" applyFont="1" applyFill="1" applyBorder="1" applyAlignment="1">
      <alignment horizontal="left"/>
    </xf>
    <xf numFmtId="0" fontId="10" fillId="5" borderId="10" xfId="10" applyFont="1" applyFill="1" applyBorder="1"/>
    <xf numFmtId="0" fontId="47" fillId="2" borderId="3" xfId="17" applyFont="1" applyFill="1" applyBorder="1" applyAlignment="1">
      <alignment horizontal="center" vertical="center" wrapText="1"/>
    </xf>
    <xf numFmtId="0" fontId="51" fillId="2" borderId="3" xfId="17" applyFont="1" applyFill="1" applyBorder="1" applyAlignment="1">
      <alignment horizontal="center" vertical="center" wrapText="1"/>
    </xf>
    <xf numFmtId="0" fontId="49" fillId="0" borderId="3" xfId="0" applyFont="1" applyBorder="1"/>
    <xf numFmtId="0" fontId="51" fillId="2" borderId="6" xfId="17" applyFont="1" applyFill="1" applyBorder="1" applyAlignment="1">
      <alignment horizontal="center" vertical="center" wrapText="1"/>
    </xf>
    <xf numFmtId="0" fontId="51" fillId="0" borderId="18" xfId="16" applyFont="1" applyBorder="1" applyAlignment="1">
      <alignment horizontal="center" vertical="center" wrapText="1"/>
    </xf>
    <xf numFmtId="0" fontId="14" fillId="0" borderId="0" xfId="0" applyFont="1" applyAlignment="1">
      <alignment horizontal="left" vertical="top" wrapText="1"/>
    </xf>
    <xf numFmtId="0" fontId="19" fillId="0" borderId="3" xfId="0" applyFont="1" applyBorder="1" applyAlignment="1">
      <alignment wrapText="1"/>
    </xf>
    <xf numFmtId="0" fontId="19" fillId="0" borderId="1" xfId="16" applyFont="1" applyBorder="1"/>
    <xf numFmtId="0" fontId="19" fillId="0" borderId="1" xfId="0" applyFont="1" applyBorder="1"/>
    <xf numFmtId="167" fontId="19" fillId="0" borderId="3" xfId="17" applyNumberFormat="1" applyFont="1" applyBorder="1" applyAlignment="1">
      <alignment horizontal="left" vertical="top"/>
    </xf>
    <xf numFmtId="0" fontId="20" fillId="0" borderId="3" xfId="0" applyFont="1" applyBorder="1" applyAlignment="1">
      <alignment vertical="top"/>
    </xf>
    <xf numFmtId="0" fontId="19" fillId="0" borderId="4" xfId="0" applyFont="1" applyBorder="1"/>
    <xf numFmtId="0" fontId="19" fillId="0" borderId="6" xfId="0" applyFont="1" applyBorder="1"/>
    <xf numFmtId="166" fontId="23" fillId="0" borderId="23" xfId="15" applyNumberFormat="1" applyFont="1" applyBorder="1" applyAlignment="1">
      <alignment horizontal="center" vertical="center"/>
    </xf>
    <xf numFmtId="0" fontId="2" fillId="0" borderId="8" xfId="17" applyBorder="1"/>
    <xf numFmtId="0" fontId="2" fillId="0" borderId="7" xfId="17" applyBorder="1"/>
    <xf numFmtId="0" fontId="19" fillId="5" borderId="0" xfId="17" quotePrefix="1" applyFont="1" applyFill="1" applyAlignment="1">
      <alignment horizontal="right" wrapText="1"/>
    </xf>
    <xf numFmtId="0" fontId="19" fillId="5" borderId="0" xfId="17" quotePrefix="1" applyFont="1" applyFill="1" applyAlignment="1">
      <alignment horizontal="right" vertical="top" wrapText="1"/>
    </xf>
    <xf numFmtId="0" fontId="19" fillId="5" borderId="0" xfId="17" quotePrefix="1" applyFont="1" applyFill="1" applyAlignment="1">
      <alignment horizontal="left" vertical="center" wrapText="1"/>
    </xf>
    <xf numFmtId="0" fontId="19" fillId="5" borderId="0" xfId="17" applyFont="1" applyFill="1" applyAlignment="1">
      <alignment horizontal="right" wrapText="1"/>
    </xf>
    <xf numFmtId="0" fontId="19" fillId="5" borderId="0" xfId="0" applyFont="1" applyFill="1" applyAlignment="1">
      <alignment horizontal="right" wrapText="1"/>
    </xf>
    <xf numFmtId="0" fontId="20" fillId="0" borderId="9" xfId="0" applyFont="1" applyBorder="1" applyAlignment="1">
      <alignment wrapText="1"/>
    </xf>
    <xf numFmtId="0" fontId="19" fillId="0" borderId="1" xfId="0" quotePrefix="1" applyFont="1" applyBorder="1" applyAlignment="1">
      <alignment vertical="top" wrapText="1"/>
    </xf>
    <xf numFmtId="0" fontId="20" fillId="0" borderId="8" xfId="0" applyFont="1" applyBorder="1" applyAlignment="1">
      <alignment wrapText="1"/>
    </xf>
    <xf numFmtId="0" fontId="19" fillId="0" borderId="3" xfId="0" quotePrefix="1" applyFont="1" applyBorder="1" applyAlignment="1">
      <alignment vertical="top" wrapText="1"/>
    </xf>
    <xf numFmtId="0" fontId="23" fillId="0" borderId="101" xfId="17" applyFont="1" applyBorder="1" applyAlignment="1">
      <alignment horizontal="center"/>
    </xf>
    <xf numFmtId="167" fontId="23" fillId="0" borderId="102" xfId="17" applyNumberFormat="1" applyFont="1" applyBorder="1" applyAlignment="1">
      <alignment horizontal="left" wrapText="1"/>
    </xf>
    <xf numFmtId="0" fontId="19" fillId="0" borderId="110" xfId="0" applyFont="1" applyBorder="1" applyAlignment="1">
      <alignment vertical="top" wrapText="1"/>
    </xf>
    <xf numFmtId="0" fontId="19" fillId="5" borderId="112" xfId="17" applyFont="1" applyFill="1" applyBorder="1" applyAlignment="1">
      <alignment horizontal="left" vertical="center" wrapText="1"/>
    </xf>
    <xf numFmtId="0" fontId="19" fillId="5" borderId="138" xfId="17" applyFont="1" applyFill="1" applyBorder="1" applyAlignment="1">
      <alignment horizontal="left" vertical="center" wrapText="1"/>
    </xf>
    <xf numFmtId="0" fontId="19" fillId="5" borderId="3" xfId="10" applyFont="1" applyFill="1" applyBorder="1" applyAlignment="1">
      <alignment horizontal="left" vertical="top" wrapText="1"/>
    </xf>
    <xf numFmtId="0" fontId="23" fillId="0" borderId="1" xfId="17" applyFont="1" applyBorder="1" applyAlignment="1">
      <alignment horizontal="center" vertical="center" textRotation="90" wrapText="1"/>
    </xf>
    <xf numFmtId="0" fontId="19" fillId="5" borderId="1" xfId="17" applyFont="1" applyFill="1" applyBorder="1" applyAlignment="1">
      <alignment horizontal="left" vertical="top" wrapText="1"/>
    </xf>
    <xf numFmtId="0" fontId="23" fillId="5" borderId="1" xfId="17" applyFont="1" applyFill="1" applyBorder="1" applyAlignment="1">
      <alignment horizontal="center" vertical="top" wrapText="1"/>
    </xf>
    <xf numFmtId="0" fontId="19" fillId="5" borderId="1" xfId="17" applyFont="1" applyFill="1" applyBorder="1" applyAlignment="1">
      <alignment horizontal="center" vertical="top" wrapText="1"/>
    </xf>
    <xf numFmtId="0" fontId="19" fillId="5" borderId="37" xfId="17" applyFont="1" applyFill="1" applyBorder="1" applyAlignment="1">
      <alignment horizontal="center" vertical="top"/>
    </xf>
    <xf numFmtId="0" fontId="11" fillId="5" borderId="3" xfId="17" applyFont="1" applyFill="1" applyBorder="1" applyAlignment="1">
      <alignment horizontal="center" vertical="center" wrapText="1"/>
    </xf>
    <xf numFmtId="0" fontId="19" fillId="0" borderId="4" xfId="17" applyFont="1" applyBorder="1" applyAlignment="1">
      <alignment horizontal="left" vertical="center" wrapText="1"/>
    </xf>
    <xf numFmtId="0" fontId="19" fillId="5" borderId="0" xfId="17" applyFont="1" applyFill="1" applyAlignment="1">
      <alignment horizontal="center" vertical="top" wrapText="1"/>
    </xf>
    <xf numFmtId="0" fontId="23" fillId="5" borderId="3" xfId="0" applyFont="1" applyFill="1" applyBorder="1" applyAlignment="1">
      <alignment horizontal="center" wrapText="1"/>
    </xf>
    <xf numFmtId="0" fontId="19" fillId="0" borderId="1" xfId="0" applyFont="1" applyBorder="1" applyAlignment="1">
      <alignment horizontal="left" vertical="top" wrapText="1"/>
    </xf>
    <xf numFmtId="0" fontId="19" fillId="0" borderId="1" xfId="17" applyFont="1" applyBorder="1" applyAlignment="1">
      <alignment horizontal="left" vertical="center" wrapText="1"/>
    </xf>
    <xf numFmtId="0" fontId="23" fillId="0" borderId="3" xfId="17" applyFont="1" applyBorder="1" applyAlignment="1">
      <alignment horizontal="center"/>
    </xf>
    <xf numFmtId="0" fontId="19" fillId="5" borderId="3" xfId="0" applyFont="1" applyFill="1" applyBorder="1" applyAlignment="1">
      <alignment horizontal="center" vertical="top" wrapText="1"/>
    </xf>
    <xf numFmtId="0" fontId="19" fillId="0" borderId="6" xfId="0" applyFont="1" applyBorder="1" applyAlignment="1">
      <alignment horizontal="left" vertical="top" wrapText="1"/>
    </xf>
    <xf numFmtId="0" fontId="23" fillId="5" borderId="3" xfId="17" applyFont="1" applyFill="1" applyBorder="1" applyAlignment="1">
      <alignment horizontal="left" vertical="top" wrapText="1"/>
    </xf>
    <xf numFmtId="0" fontId="23" fillId="0" borderId="2" xfId="17" applyFont="1" applyBorder="1" applyAlignment="1">
      <alignment horizontal="center" vertical="top" wrapText="1"/>
    </xf>
    <xf numFmtId="0" fontId="23" fillId="0" borderId="3" xfId="17" applyFont="1" applyBorder="1" applyAlignment="1">
      <alignment horizontal="center" vertical="top" wrapText="1"/>
    </xf>
    <xf numFmtId="0" fontId="23" fillId="0" borderId="6" xfId="17" applyFont="1" applyBorder="1" applyAlignment="1">
      <alignment horizontal="center" vertical="top" wrapText="1"/>
    </xf>
    <xf numFmtId="0" fontId="19" fillId="0" borderId="1" xfId="17" applyFont="1" applyBorder="1" applyAlignment="1">
      <alignment horizontal="left" vertical="top" wrapText="1"/>
    </xf>
    <xf numFmtId="0" fontId="23" fillId="5" borderId="8" xfId="17" applyFont="1" applyFill="1" applyBorder="1" applyAlignment="1">
      <alignment horizontal="center" vertical="top" wrapText="1"/>
    </xf>
    <xf numFmtId="0" fontId="19" fillId="0" borderId="1" xfId="10" applyFont="1" applyBorder="1" applyAlignment="1">
      <alignment horizontal="left" vertical="top" wrapText="1"/>
    </xf>
    <xf numFmtId="0" fontId="19" fillId="0" borderId="2" xfId="10" applyFont="1" applyBorder="1" applyAlignment="1">
      <alignment horizontal="left" vertical="top" wrapText="1"/>
    </xf>
    <xf numFmtId="1" fontId="19" fillId="0" borderId="110" xfId="3" applyNumberFormat="1" applyFont="1" applyFill="1" applyBorder="1" applyAlignment="1">
      <alignment horizontal="left" vertical="top" wrapText="1"/>
    </xf>
    <xf numFmtId="0" fontId="19" fillId="0" borderId="105" xfId="17" applyFont="1" applyBorder="1" applyAlignment="1">
      <alignment horizontal="left" vertical="top" wrapText="1"/>
    </xf>
    <xf numFmtId="167" fontId="23" fillId="0" borderId="0" xfId="17" applyNumberFormat="1" applyFont="1" applyAlignment="1">
      <alignment horizontal="left" vertical="top" wrapText="1"/>
    </xf>
    <xf numFmtId="0" fontId="19" fillId="0" borderId="0" xfId="17" applyFont="1" applyAlignment="1">
      <alignment horizontal="right" vertical="top" wrapText="1"/>
    </xf>
    <xf numFmtId="0" fontId="19" fillId="0" borderId="10" xfId="17" applyFont="1" applyBorder="1" applyAlignment="1">
      <alignment horizontal="left" vertical="top"/>
    </xf>
    <xf numFmtId="0" fontId="23" fillId="0" borderId="1" xfId="17" applyFont="1" applyBorder="1" applyAlignment="1">
      <alignment horizontal="left" vertical="top" wrapText="1"/>
    </xf>
    <xf numFmtId="0" fontId="23" fillId="0" borderId="0" xfId="17" applyFont="1" applyAlignment="1">
      <alignment horizontal="left" vertical="top" wrapText="1"/>
    </xf>
    <xf numFmtId="1" fontId="19" fillId="0" borderId="105" xfId="3" applyNumberFormat="1" applyFont="1" applyFill="1" applyBorder="1" applyAlignment="1">
      <alignment horizontal="left" vertical="top" wrapText="1"/>
    </xf>
    <xf numFmtId="1" fontId="19" fillId="0" borderId="3" xfId="3" applyNumberFormat="1" applyFont="1" applyFill="1" applyBorder="1" applyAlignment="1">
      <alignment horizontal="left" vertical="top" wrapText="1"/>
    </xf>
    <xf numFmtId="0" fontId="19" fillId="0" borderId="3" xfId="20" applyFont="1" applyBorder="1" applyAlignment="1">
      <alignment horizontal="left" vertical="top" wrapText="1"/>
    </xf>
    <xf numFmtId="0" fontId="19" fillId="0" borderId="0" xfId="10" applyFont="1" applyAlignment="1">
      <alignment vertical="top" wrapText="1"/>
    </xf>
    <xf numFmtId="0" fontId="19" fillId="0" borderId="22" xfId="0" applyFont="1" applyBorder="1" applyAlignment="1">
      <alignment horizontal="left" vertical="top" wrapText="1"/>
    </xf>
    <xf numFmtId="0" fontId="23" fillId="5" borderId="1" xfId="17" applyFont="1" applyFill="1" applyBorder="1" applyAlignment="1">
      <alignment vertical="center" textRotation="90" wrapText="1"/>
    </xf>
    <xf numFmtId="167" fontId="23" fillId="0" borderId="36" xfId="17" applyNumberFormat="1" applyFont="1" applyBorder="1" applyAlignment="1">
      <alignment vertical="top"/>
    </xf>
    <xf numFmtId="167" fontId="23" fillId="0" borderId="5" xfId="17" applyNumberFormat="1" applyFont="1" applyBorder="1" applyAlignment="1">
      <alignment vertical="top"/>
    </xf>
    <xf numFmtId="0" fontId="1" fillId="0" borderId="8" xfId="19" applyBorder="1" applyAlignment="1">
      <alignment horizontal="center"/>
    </xf>
    <xf numFmtId="0" fontId="1" fillId="0" borderId="6" xfId="19" applyBorder="1"/>
    <xf numFmtId="0" fontId="19" fillId="0" borderId="2" xfId="19" applyFont="1" applyBorder="1" applyAlignment="1">
      <alignment vertical="top" wrapText="1"/>
    </xf>
    <xf numFmtId="0" fontId="19" fillId="0" borderId="0" xfId="19" applyFont="1" applyAlignment="1">
      <alignment vertical="top" wrapText="1"/>
    </xf>
    <xf numFmtId="0" fontId="19" fillId="0" borderId="23" xfId="19" applyFont="1" applyBorder="1" applyAlignment="1">
      <alignment vertical="top" wrapText="1"/>
    </xf>
    <xf numFmtId="0" fontId="19" fillId="0" borderId="24" xfId="19" applyFont="1" applyBorder="1" applyAlignment="1">
      <alignment vertical="top" wrapText="1"/>
    </xf>
    <xf numFmtId="0" fontId="19" fillId="0" borderId="12" xfId="19" applyFont="1" applyBorder="1" applyAlignment="1">
      <alignment vertical="top" wrapText="1"/>
    </xf>
    <xf numFmtId="0" fontId="8" fillId="0" borderId="6" xfId="19" applyFont="1" applyBorder="1"/>
    <xf numFmtId="0" fontId="8" fillId="0" borderId="4" xfId="19" applyFont="1" applyBorder="1"/>
    <xf numFmtId="0" fontId="1" fillId="0" borderId="4" xfId="19" applyBorder="1"/>
    <xf numFmtId="0" fontId="19" fillId="0" borderId="5" xfId="0" applyFont="1" applyBorder="1" applyAlignment="1">
      <alignment horizontal="center" vertical="center" wrapText="1"/>
    </xf>
    <xf numFmtId="0" fontId="19" fillId="0" borderId="4" xfId="0" applyFont="1" applyBorder="1" applyAlignment="1">
      <alignment horizontal="center" vertical="center" wrapText="1"/>
    </xf>
    <xf numFmtId="0" fontId="19" fillId="0" borderId="4" xfId="20" applyFont="1" applyBorder="1" applyAlignment="1">
      <alignment horizontal="center" vertical="center" wrapText="1"/>
    </xf>
    <xf numFmtId="167" fontId="23" fillId="0" borderId="0" xfId="17" applyNumberFormat="1" applyFont="1" applyAlignment="1">
      <alignment horizontal="center" vertical="center" wrapText="1"/>
    </xf>
    <xf numFmtId="0" fontId="19" fillId="0" borderId="0" xfId="17" applyFont="1" applyAlignment="1">
      <alignment horizontal="left" vertical="center"/>
    </xf>
    <xf numFmtId="0" fontId="1" fillId="0" borderId="105" xfId="0" applyFont="1" applyBorder="1"/>
    <xf numFmtId="0" fontId="19" fillId="0" borderId="111" xfId="17" applyFont="1" applyBorder="1" applyAlignment="1">
      <alignment horizontal="left" vertical="top" wrapText="1"/>
    </xf>
    <xf numFmtId="0" fontId="1" fillId="0" borderId="2" xfId="0" applyFont="1" applyBorder="1"/>
    <xf numFmtId="0" fontId="10" fillId="0" borderId="0" xfId="19" applyFont="1"/>
    <xf numFmtId="0" fontId="20" fillId="0" borderId="4" xfId="19" applyFont="1" applyBorder="1"/>
    <xf numFmtId="0" fontId="20" fillId="0" borderId="36" xfId="19" applyFont="1" applyBorder="1" applyAlignment="1">
      <alignment horizontal="center"/>
    </xf>
    <xf numFmtId="0" fontId="20" fillId="0" borderId="5" xfId="19" applyFont="1" applyBorder="1" applyAlignment="1">
      <alignment horizontal="center"/>
    </xf>
    <xf numFmtId="0" fontId="20" fillId="0" borderId="3" xfId="19" applyFont="1" applyBorder="1" applyAlignment="1">
      <alignment vertical="top"/>
    </xf>
    <xf numFmtId="0" fontId="20" fillId="0" borderId="0" xfId="19" applyFont="1" applyAlignment="1">
      <alignment horizontal="center" vertical="center" wrapText="1"/>
    </xf>
    <xf numFmtId="0" fontId="20" fillId="0" borderId="8" xfId="19" applyFont="1" applyBorder="1" applyAlignment="1">
      <alignment vertical="top" wrapText="1"/>
    </xf>
    <xf numFmtId="0" fontId="20" fillId="0" borderId="0" xfId="19" applyFont="1" applyAlignment="1">
      <alignment vertical="top"/>
    </xf>
    <xf numFmtId="0" fontId="20" fillId="0" borderId="4" xfId="19" applyFont="1" applyBorder="1" applyAlignment="1">
      <alignment vertical="top"/>
    </xf>
    <xf numFmtId="0" fontId="20" fillId="0" borderId="36" xfId="19" applyFont="1" applyBorder="1" applyAlignment="1">
      <alignment vertical="top"/>
    </xf>
    <xf numFmtId="0" fontId="20" fillId="0" borderId="4" xfId="19" applyFont="1" applyBorder="1" applyAlignment="1">
      <alignment vertical="top" wrapText="1"/>
    </xf>
    <xf numFmtId="0" fontId="20" fillId="0" borderId="3" xfId="19" applyFont="1" applyBorder="1" applyAlignment="1">
      <alignment horizontal="center" vertical="center"/>
    </xf>
    <xf numFmtId="0" fontId="20" fillId="0" borderId="4" xfId="19" applyFont="1" applyBorder="1" applyAlignment="1">
      <alignment horizontal="left" vertical="center" wrapText="1"/>
    </xf>
    <xf numFmtId="0" fontId="20" fillId="0" borderId="4" xfId="19" applyFont="1" applyBorder="1" applyAlignment="1">
      <alignment wrapText="1"/>
    </xf>
    <xf numFmtId="0" fontId="20" fillId="0" borderId="4" xfId="19" applyFont="1" applyBorder="1" applyAlignment="1">
      <alignment horizontal="center" vertical="center"/>
    </xf>
    <xf numFmtId="0" fontId="20" fillId="0" borderId="4" xfId="19" applyFont="1" applyBorder="1" applyAlignment="1">
      <alignment horizontal="left" vertical="top" wrapText="1"/>
    </xf>
    <xf numFmtId="0" fontId="20" fillId="0" borderId="0" xfId="19" applyFont="1" applyAlignment="1">
      <alignment horizontal="left" vertical="top"/>
    </xf>
    <xf numFmtId="0" fontId="20" fillId="0" borderId="0" xfId="19" applyFont="1" applyAlignment="1">
      <alignment horizontal="left" vertical="top" wrapText="1"/>
    </xf>
    <xf numFmtId="0" fontId="23" fillId="0" borderId="3" xfId="0" quotePrefix="1" applyFont="1" applyBorder="1" applyAlignment="1">
      <alignment vertical="top" wrapText="1"/>
    </xf>
    <xf numFmtId="0" fontId="1" fillId="0" borderId="0" xfId="0" applyFont="1" applyAlignment="1">
      <alignment horizontal="left" vertical="center" wrapText="1"/>
    </xf>
    <xf numFmtId="0" fontId="1" fillId="0" borderId="0" xfId="0" applyFont="1" applyAlignment="1">
      <alignment horizontal="left" vertical="top" wrapText="1"/>
    </xf>
    <xf numFmtId="0" fontId="19" fillId="0" borderId="1" xfId="10" applyFont="1" applyBorder="1" applyAlignment="1">
      <alignment vertical="top"/>
    </xf>
    <xf numFmtId="0" fontId="23" fillId="0" borderId="1" xfId="17" applyFont="1" applyBorder="1" applyAlignment="1">
      <alignment horizontal="left" vertical="top"/>
    </xf>
    <xf numFmtId="0" fontId="23" fillId="0" borderId="0" xfId="17" applyFont="1" applyAlignment="1">
      <alignment horizontal="left" vertical="top"/>
    </xf>
    <xf numFmtId="0" fontId="2" fillId="0" borderId="3" xfId="17" applyBorder="1"/>
    <xf numFmtId="0" fontId="27" fillId="0" borderId="1" xfId="17" applyFont="1" applyBorder="1"/>
    <xf numFmtId="0" fontId="20" fillId="0" borderId="2" xfId="0" applyFont="1" applyBorder="1" applyAlignment="1">
      <alignment wrapText="1"/>
    </xf>
    <xf numFmtId="0" fontId="27" fillId="0" borderId="0" xfId="17" applyFont="1"/>
    <xf numFmtId="0" fontId="20" fillId="0" borderId="48" xfId="0" applyFont="1" applyBorder="1" applyAlignment="1">
      <alignment vertical="top" wrapText="1"/>
    </xf>
    <xf numFmtId="0" fontId="20" fillId="0" borderId="2" xfId="0" applyFont="1" applyBorder="1" applyAlignment="1">
      <alignment vertical="top" wrapText="1"/>
    </xf>
    <xf numFmtId="0" fontId="19" fillId="0" borderId="3" xfId="17" applyFont="1" applyBorder="1" applyAlignment="1">
      <alignment vertical="center"/>
    </xf>
    <xf numFmtId="0" fontId="11" fillId="0" borderId="3" xfId="17" applyFont="1" applyBorder="1" applyAlignment="1">
      <alignment horizontal="left"/>
    </xf>
    <xf numFmtId="0" fontId="23" fillId="0" borderId="3" xfId="17" applyFont="1" applyBorder="1" applyAlignment="1">
      <alignment horizontal="center" vertical="center"/>
    </xf>
    <xf numFmtId="0" fontId="19" fillId="0" borderId="3" xfId="10" applyFont="1" applyBorder="1" applyAlignment="1">
      <alignment horizontal="left" wrapText="1"/>
    </xf>
    <xf numFmtId="0" fontId="19" fillId="0" borderId="1" xfId="17" applyFont="1" applyBorder="1" applyAlignment="1">
      <alignment textRotation="90"/>
    </xf>
    <xf numFmtId="0" fontId="23" fillId="0" borderId="2" xfId="17" applyFont="1" applyBorder="1" applyAlignment="1">
      <alignment horizontal="left" vertical="top" wrapText="1"/>
    </xf>
    <xf numFmtId="0" fontId="19" fillId="0" borderId="3" xfId="17" applyFont="1" applyBorder="1" applyAlignment="1">
      <alignment textRotation="90"/>
    </xf>
    <xf numFmtId="0" fontId="19" fillId="0" borderId="23" xfId="17" applyFont="1" applyBorder="1" applyAlignment="1">
      <alignment horizontal="left"/>
    </xf>
    <xf numFmtId="0" fontId="23" fillId="0" borderId="23" xfId="17" applyFont="1" applyBorder="1" applyAlignment="1">
      <alignment wrapText="1"/>
    </xf>
    <xf numFmtId="0" fontId="20" fillId="0" borderId="12" xfId="10" applyFont="1" applyBorder="1" applyAlignment="1">
      <alignment wrapText="1"/>
    </xf>
    <xf numFmtId="0" fontId="23" fillId="0" borderId="49" xfId="17" applyFont="1" applyBorder="1" applyAlignment="1">
      <alignment horizontal="center"/>
    </xf>
    <xf numFmtId="0" fontId="23" fillId="0" borderId="51" xfId="17" applyFont="1" applyBorder="1" applyAlignment="1">
      <alignment horizontal="left"/>
    </xf>
    <xf numFmtId="0" fontId="23" fillId="0" borderId="45" xfId="17" applyFont="1" applyBorder="1" applyAlignment="1">
      <alignment horizontal="left"/>
    </xf>
    <xf numFmtId="0" fontId="23" fillId="0" borderId="53" xfId="17" applyFont="1" applyBorder="1" applyAlignment="1">
      <alignment horizontal="left"/>
    </xf>
    <xf numFmtId="0" fontId="23" fillId="0" borderId="44" xfId="17" applyFont="1" applyBorder="1" applyAlignment="1">
      <alignment horizontal="left"/>
    </xf>
    <xf numFmtId="0" fontId="19" fillId="0" borderId="51" xfId="17" applyFont="1" applyBorder="1" applyAlignment="1">
      <alignment textRotation="90"/>
    </xf>
    <xf numFmtId="166" fontId="12" fillId="0" borderId="14" xfId="15" applyNumberFormat="1" applyFont="1" applyBorder="1" applyAlignment="1">
      <alignment horizontal="center" vertical="center"/>
    </xf>
    <xf numFmtId="0" fontId="2" fillId="0" borderId="23" xfId="17" applyBorder="1"/>
    <xf numFmtId="0" fontId="15" fillId="0" borderId="6" xfId="17" applyFont="1" applyBorder="1"/>
    <xf numFmtId="0" fontId="2" fillId="0" borderId="7" xfId="17" applyBorder="1" applyAlignment="1">
      <alignment horizontal="left"/>
    </xf>
    <xf numFmtId="0" fontId="15" fillId="0" borderId="23" xfId="17" applyFont="1" applyBorder="1"/>
    <xf numFmtId="0" fontId="15" fillId="0" borderId="12" xfId="17" applyFont="1" applyBorder="1"/>
    <xf numFmtId="0" fontId="2" fillId="0" borderId="24" xfId="17" applyBorder="1"/>
    <xf numFmtId="0" fontId="2" fillId="0" borderId="6" xfId="17" applyBorder="1" applyAlignment="1">
      <alignment horizontal="left"/>
    </xf>
    <xf numFmtId="0" fontId="2" fillId="0" borderId="37" xfId="17" applyBorder="1"/>
    <xf numFmtId="0" fontId="15" fillId="0" borderId="4" xfId="17" applyFont="1" applyBorder="1"/>
    <xf numFmtId="0" fontId="2" fillId="0" borderId="4" xfId="17" applyBorder="1" applyAlignment="1">
      <alignment horizontal="left"/>
    </xf>
    <xf numFmtId="0" fontId="15" fillId="0" borderId="37" xfId="17" applyFont="1" applyBorder="1"/>
    <xf numFmtId="0" fontId="15" fillId="0" borderId="5" xfId="17" applyFont="1" applyBorder="1"/>
    <xf numFmtId="0" fontId="2" fillId="0" borderId="36" xfId="17" applyBorder="1"/>
    <xf numFmtId="0" fontId="15" fillId="0" borderId="117" xfId="17" applyFont="1" applyBorder="1"/>
    <xf numFmtId="0" fontId="15" fillId="0" borderId="119" xfId="17" applyFont="1" applyBorder="1"/>
    <xf numFmtId="0" fontId="15" fillId="0" borderId="110" xfId="17" applyFont="1" applyBorder="1"/>
    <xf numFmtId="0" fontId="15" fillId="0" borderId="120" xfId="17" applyFont="1" applyBorder="1"/>
    <xf numFmtId="167" fontId="19" fillId="0" borderId="9" xfId="17" applyNumberFormat="1" applyFont="1" applyBorder="1"/>
    <xf numFmtId="0" fontId="20" fillId="0" borderId="22" xfId="10" applyFont="1" applyBorder="1"/>
    <xf numFmtId="0" fontId="11" fillId="0" borderId="3" xfId="17" applyFont="1" applyBorder="1"/>
    <xf numFmtId="0" fontId="20" fillId="0" borderId="3" xfId="0" applyFont="1" applyBorder="1" applyAlignment="1">
      <alignment wrapText="1"/>
    </xf>
    <xf numFmtId="0" fontId="15" fillId="0" borderId="6" xfId="17" quotePrefix="1" applyFont="1" applyBorder="1" applyAlignment="1">
      <alignment horizontal="center"/>
    </xf>
    <xf numFmtId="0" fontId="15" fillId="0" borderId="4" xfId="17" quotePrefix="1" applyFont="1" applyBorder="1" applyAlignment="1">
      <alignment horizontal="center"/>
    </xf>
    <xf numFmtId="167" fontId="23" fillId="0" borderId="37" xfId="17" applyNumberFormat="1" applyFont="1" applyBorder="1" applyAlignment="1">
      <alignment wrapText="1"/>
    </xf>
    <xf numFmtId="167" fontId="23" fillId="0" borderId="5" xfId="17" applyNumberFormat="1" applyFont="1" applyBorder="1" applyAlignment="1">
      <alignment wrapText="1"/>
    </xf>
    <xf numFmtId="0" fontId="23" fillId="0" borderId="46" xfId="17" applyFont="1" applyBorder="1" applyAlignment="1">
      <alignment horizontal="center"/>
    </xf>
    <xf numFmtId="167" fontId="23" fillId="0" borderId="41" xfId="17" applyNumberFormat="1" applyFont="1" applyBorder="1" applyAlignment="1">
      <alignment horizontal="center" vertical="top" wrapText="1"/>
    </xf>
    <xf numFmtId="167" fontId="23" fillId="0" borderId="4" xfId="17" applyNumberFormat="1" applyFont="1" applyBorder="1" applyAlignment="1">
      <alignment horizontal="left" vertical="top"/>
    </xf>
    <xf numFmtId="0" fontId="23" fillId="0" borderId="20" xfId="17" applyFont="1" applyBorder="1" applyAlignment="1">
      <alignment vertical="center" wrapText="1"/>
    </xf>
    <xf numFmtId="0" fontId="1" fillId="0" borderId="3" xfId="0" applyFont="1" applyBorder="1" applyAlignment="1">
      <alignment horizontal="left"/>
    </xf>
    <xf numFmtId="0" fontId="35" fillId="0" borderId="3" xfId="0" applyFont="1" applyBorder="1" applyAlignment="1">
      <alignment horizontal="left"/>
    </xf>
    <xf numFmtId="0" fontId="1" fillId="0" borderId="0" xfId="0" applyFont="1" applyAlignment="1">
      <alignment horizontal="left"/>
    </xf>
    <xf numFmtId="0" fontId="8" fillId="0" borderId="3" xfId="0" applyFont="1" applyBorder="1" applyAlignment="1">
      <alignment horizontal="left"/>
    </xf>
    <xf numFmtId="0" fontId="19" fillId="0" borderId="1" xfId="0" applyFont="1" applyBorder="1" applyAlignment="1">
      <alignment horizontal="left" vertical="center" wrapText="1"/>
    </xf>
    <xf numFmtId="0" fontId="23" fillId="0" borderId="21" xfId="17" applyFont="1" applyBorder="1" applyAlignment="1">
      <alignment vertical="center" wrapText="1"/>
    </xf>
    <xf numFmtId="0" fontId="19" fillId="0" borderId="24" xfId="0" applyFont="1" applyBorder="1" applyAlignment="1">
      <alignment horizontal="left" vertical="top" wrapText="1"/>
    </xf>
    <xf numFmtId="0" fontId="19" fillId="0" borderId="23" xfId="0" applyFont="1" applyBorder="1" applyAlignment="1">
      <alignment horizontal="left" vertical="top" wrapText="1"/>
    </xf>
    <xf numFmtId="0" fontId="23" fillId="0" borderId="85" xfId="17" applyFont="1" applyBorder="1" applyAlignment="1">
      <alignment vertical="center"/>
    </xf>
    <xf numFmtId="0" fontId="23" fillId="0" borderId="45" xfId="0" applyFont="1" applyBorder="1" applyAlignment="1">
      <alignment horizontal="center" vertical="top" wrapText="1"/>
    </xf>
    <xf numFmtId="0" fontId="23" fillId="0" borderId="45" xfId="0" applyFont="1" applyBorder="1" applyAlignment="1">
      <alignment horizontal="left" vertical="top" wrapText="1"/>
    </xf>
    <xf numFmtId="0" fontId="23" fillId="0" borderId="49" xfId="0" applyFont="1" applyBorder="1" applyAlignment="1">
      <alignment horizontal="left" vertical="top" wrapText="1"/>
    </xf>
    <xf numFmtId="0" fontId="23" fillId="0" borderId="18" xfId="0" applyFont="1" applyBorder="1" applyAlignment="1">
      <alignment horizontal="left" vertical="top" wrapText="1"/>
    </xf>
    <xf numFmtId="0" fontId="23" fillId="0" borderId="46" xfId="0" applyFont="1" applyBorder="1" applyAlignment="1">
      <alignment horizontal="left" vertical="top" wrapText="1"/>
    </xf>
    <xf numFmtId="166" fontId="23" fillId="0" borderId="13" xfId="15" applyNumberFormat="1" applyFont="1" applyBorder="1" applyAlignment="1">
      <alignment horizontal="center" vertical="center"/>
    </xf>
    <xf numFmtId="166" fontId="23" fillId="0" borderId="21" xfId="15" applyNumberFormat="1" applyFont="1" applyBorder="1" applyAlignment="1">
      <alignment horizontal="center" vertical="center"/>
    </xf>
    <xf numFmtId="0" fontId="1" fillId="0" borderId="11" xfId="0" applyFont="1" applyBorder="1" applyAlignment="1">
      <alignment horizontal="left"/>
    </xf>
    <xf numFmtId="0" fontId="19" fillId="0" borderId="39" xfId="0" applyFont="1" applyBorder="1" applyAlignment="1">
      <alignment horizontal="left" vertical="top" wrapText="1"/>
    </xf>
    <xf numFmtId="0" fontId="19" fillId="0" borderId="7" xfId="0" applyFont="1" applyBorder="1" applyAlignment="1">
      <alignment horizontal="left" vertical="top" wrapText="1"/>
    </xf>
    <xf numFmtId="0" fontId="19" fillId="0" borderId="42" xfId="0" applyFont="1" applyBorder="1" applyAlignment="1">
      <alignment horizontal="left" vertical="top" wrapText="1"/>
    </xf>
    <xf numFmtId="166" fontId="23" fillId="0" borderId="14" xfId="15" applyNumberFormat="1" applyFont="1" applyBorder="1" applyAlignment="1">
      <alignment horizontal="center" vertical="center"/>
    </xf>
    <xf numFmtId="166" fontId="23" fillId="0" borderId="38" xfId="15" applyNumberFormat="1" applyFont="1" applyBorder="1" applyAlignment="1">
      <alignment horizontal="center" vertical="center"/>
    </xf>
    <xf numFmtId="0" fontId="1" fillId="0" borderId="5" xfId="0" applyFont="1" applyBorder="1" applyAlignment="1">
      <alignment horizontal="left"/>
    </xf>
    <xf numFmtId="0" fontId="19" fillId="0" borderId="37" xfId="0" applyFont="1" applyBorder="1" applyAlignment="1">
      <alignment horizontal="left" vertical="top" wrapText="1"/>
    </xf>
    <xf numFmtId="0" fontId="19" fillId="0" borderId="36" xfId="0" applyFont="1" applyBorder="1" applyAlignment="1">
      <alignment horizontal="left" vertical="top" wrapText="1"/>
    </xf>
    <xf numFmtId="166" fontId="23" fillId="0" borderId="15" xfId="15" applyNumberFormat="1" applyFont="1" applyBorder="1" applyAlignment="1">
      <alignment horizontal="center" vertical="center"/>
    </xf>
    <xf numFmtId="166" fontId="23" fillId="0" borderId="16" xfId="15" applyNumberFormat="1" applyFont="1" applyBorder="1" applyAlignment="1">
      <alignment horizontal="center" vertical="center"/>
    </xf>
    <xf numFmtId="166" fontId="23" fillId="0" borderId="40" xfId="15" applyNumberFormat="1" applyFont="1" applyBorder="1" applyAlignment="1">
      <alignment horizontal="center" vertical="center"/>
    </xf>
    <xf numFmtId="166" fontId="23" fillId="0" borderId="20" xfId="15" applyNumberFormat="1" applyFont="1" applyBorder="1" applyAlignment="1">
      <alignment horizontal="center" vertical="center"/>
    </xf>
    <xf numFmtId="166" fontId="23" fillId="0" borderId="47" xfId="15" applyNumberFormat="1" applyFont="1" applyBorder="1" applyAlignment="1">
      <alignment horizontal="center" vertical="center"/>
    </xf>
    <xf numFmtId="166" fontId="23" fillId="0" borderId="50" xfId="15" applyNumberFormat="1" applyFont="1" applyBorder="1" applyAlignment="1">
      <alignment horizontal="center" vertical="center"/>
    </xf>
    <xf numFmtId="166" fontId="23" fillId="0" borderId="41" xfId="15" applyNumberFormat="1" applyFont="1" applyBorder="1" applyAlignment="1">
      <alignment horizontal="center" vertical="center"/>
    </xf>
    <xf numFmtId="0" fontId="19" fillId="0" borderId="2" xfId="0" applyFont="1" applyBorder="1" applyAlignment="1">
      <alignment horizontal="left" wrapText="1"/>
    </xf>
    <xf numFmtId="0" fontId="19" fillId="0" borderId="2" xfId="0" applyFont="1" applyBorder="1" applyAlignment="1">
      <alignment wrapText="1"/>
    </xf>
    <xf numFmtId="0" fontId="35" fillId="0" borderId="3" xfId="0" applyFont="1" applyBorder="1" applyAlignment="1">
      <alignment horizontal="center"/>
    </xf>
    <xf numFmtId="0" fontId="19" fillId="0" borderId="3" xfId="0" applyFont="1" applyBorder="1" applyAlignment="1">
      <alignment horizontal="center" vertical="center" wrapText="1"/>
    </xf>
    <xf numFmtId="0" fontId="8" fillId="0" borderId="3" xfId="0" applyFont="1" applyBorder="1"/>
    <xf numFmtId="0" fontId="19" fillId="0" borderId="3" xfId="0" applyFont="1" applyBorder="1" applyAlignment="1">
      <alignment horizontal="center" vertical="top" wrapText="1"/>
    </xf>
    <xf numFmtId="0" fontId="1" fillId="0" borderId="6" xfId="0" applyFont="1" applyBorder="1"/>
    <xf numFmtId="0" fontId="23" fillId="0" borderId="50" xfId="0" applyFont="1" applyBorder="1" applyAlignment="1">
      <alignment horizontal="center" vertical="top" wrapText="1"/>
    </xf>
    <xf numFmtId="0" fontId="23" fillId="0" borderId="18" xfId="0" applyFont="1" applyBorder="1" applyAlignment="1">
      <alignment horizontal="center" vertical="top" wrapText="1"/>
    </xf>
    <xf numFmtId="0" fontId="19" fillId="0" borderId="42" xfId="0" applyFont="1" applyBorder="1" applyAlignment="1">
      <alignment horizontal="center" vertical="top" wrapText="1"/>
    </xf>
    <xf numFmtId="0" fontId="19" fillId="0" borderId="7" xfId="0" applyFont="1" applyBorder="1" applyAlignment="1">
      <alignment vertical="center" wrapText="1"/>
    </xf>
    <xf numFmtId="0" fontId="19" fillId="0" borderId="36" xfId="0" applyFont="1" applyBorder="1" applyAlignment="1">
      <alignment horizontal="center" vertical="top" wrapText="1"/>
    </xf>
    <xf numFmtId="0" fontId="19" fillId="0" borderId="4" xfId="0" applyFont="1" applyBorder="1" applyAlignment="1">
      <alignment vertical="center" wrapText="1"/>
    </xf>
    <xf numFmtId="0" fontId="8" fillId="0" borderId="22" xfId="0" applyFont="1" applyBorder="1" applyAlignment="1">
      <alignment horizontal="center"/>
    </xf>
    <xf numFmtId="0" fontId="8" fillId="0" borderId="8" xfId="0" applyFont="1" applyBorder="1"/>
    <xf numFmtId="0" fontId="8" fillId="0" borderId="42" xfId="0" applyFont="1" applyBorder="1" applyAlignment="1">
      <alignment horizontal="center"/>
    </xf>
    <xf numFmtId="0" fontId="8" fillId="0" borderId="7" xfId="0" applyFont="1" applyBorder="1"/>
    <xf numFmtId="0" fontId="8" fillId="0" borderId="36" xfId="0" applyFont="1" applyBorder="1" applyAlignment="1">
      <alignment horizontal="center"/>
    </xf>
    <xf numFmtId="0" fontId="8" fillId="0" borderId="4" xfId="0" applyFont="1" applyBorder="1"/>
    <xf numFmtId="0" fontId="8" fillId="0" borderId="46" xfId="0" applyFont="1" applyBorder="1" applyAlignment="1">
      <alignment horizontal="center"/>
    </xf>
    <xf numFmtId="0" fontId="8" fillId="0" borderId="18" xfId="0" applyFont="1" applyBorder="1"/>
    <xf numFmtId="0" fontId="8" fillId="0" borderId="24" xfId="0" applyFont="1" applyBorder="1" applyAlignment="1">
      <alignment horizontal="center"/>
    </xf>
    <xf numFmtId="0" fontId="8" fillId="0" borderId="6" xfId="0" applyFont="1" applyBorder="1"/>
    <xf numFmtId="0" fontId="23" fillId="0" borderId="3" xfId="0" applyFont="1" applyBorder="1" applyAlignment="1">
      <alignment horizontal="left" vertical="top" wrapText="1"/>
    </xf>
    <xf numFmtId="0" fontId="7" fillId="0" borderId="0" xfId="17" applyFont="1" applyAlignment="1">
      <alignment vertical="center"/>
    </xf>
    <xf numFmtId="0" fontId="23" fillId="0" borderId="38" xfId="17" applyFont="1" applyBorder="1" applyAlignment="1">
      <alignment wrapText="1"/>
    </xf>
    <xf numFmtId="0" fontId="23" fillId="0" borderId="35" xfId="17" applyFont="1" applyBorder="1" applyAlignment="1">
      <alignment wrapText="1"/>
    </xf>
    <xf numFmtId="0" fontId="23" fillId="0" borderId="8" xfId="17" applyFont="1" applyBorder="1" applyAlignment="1">
      <alignment wrapText="1"/>
    </xf>
    <xf numFmtId="0" fontId="19" fillId="0" borderId="20" xfId="17" applyFont="1" applyBorder="1" applyAlignment="1">
      <alignment horizontal="left" vertical="top" wrapText="1"/>
    </xf>
    <xf numFmtId="0" fontId="14" fillId="0" borderId="3" xfId="0" applyFont="1" applyBorder="1" applyAlignment="1">
      <alignment wrapText="1"/>
    </xf>
    <xf numFmtId="0" fontId="20" fillId="0" borderId="3" xfId="0" applyFont="1" applyBorder="1" applyAlignment="1">
      <alignment horizontal="left" wrapText="1"/>
    </xf>
    <xf numFmtId="0" fontId="23" fillId="0" borderId="0" xfId="17" applyFont="1" applyAlignment="1">
      <alignment horizontal="center" vertical="center" textRotation="90" wrapText="1"/>
    </xf>
    <xf numFmtId="0" fontId="11" fillId="0" borderId="3" xfId="17" applyFont="1" applyBorder="1" applyAlignment="1">
      <alignment horizontal="left" wrapText="1"/>
    </xf>
    <xf numFmtId="0" fontId="19" fillId="0" borderId="6" xfId="17" applyFont="1" applyBorder="1" applyAlignment="1">
      <alignment horizontal="left" wrapText="1"/>
    </xf>
    <xf numFmtId="0" fontId="11" fillId="0" borderId="6" xfId="17" applyFont="1" applyBorder="1" applyAlignment="1">
      <alignment horizontal="left" wrapText="1"/>
    </xf>
    <xf numFmtId="0" fontId="23" fillId="0" borderId="1" xfId="17" applyFont="1" applyBorder="1" applyAlignment="1">
      <alignment horizontal="center" vertical="center" wrapText="1"/>
    </xf>
    <xf numFmtId="0" fontId="23" fillId="0" borderId="8" xfId="17" applyFont="1" applyBorder="1" applyAlignment="1">
      <alignment horizontal="center" vertical="center" wrapText="1"/>
    </xf>
    <xf numFmtId="0" fontId="23" fillId="0" borderId="18" xfId="17" applyFont="1" applyBorder="1" applyAlignment="1">
      <alignment horizontal="center" vertical="center" wrapText="1"/>
    </xf>
    <xf numFmtId="0" fontId="23" fillId="0" borderId="8" xfId="17" applyFont="1" applyBorder="1" applyAlignment="1">
      <alignment horizontal="left" vertical="center" wrapText="1"/>
    </xf>
    <xf numFmtId="0" fontId="23" fillId="0" borderId="18" xfId="17" applyFont="1" applyBorder="1" applyAlignment="1">
      <alignment horizontal="left" vertical="center" wrapText="1"/>
    </xf>
    <xf numFmtId="166" fontId="23" fillId="0" borderId="43" xfId="15" applyNumberFormat="1" applyFont="1" applyBorder="1" applyAlignment="1">
      <alignment horizontal="center" vertical="center"/>
    </xf>
    <xf numFmtId="166" fontId="23" fillId="0" borderId="1" xfId="15" applyNumberFormat="1" applyFont="1" applyBorder="1" applyAlignment="1">
      <alignment horizontal="center" vertical="center"/>
    </xf>
    <xf numFmtId="0" fontId="9" fillId="0" borderId="36" xfId="10" applyFont="1" applyBorder="1"/>
    <xf numFmtId="0" fontId="13" fillId="0" borderId="67" xfId="10" applyFont="1" applyBorder="1" applyAlignment="1">
      <alignment vertical="top" wrapText="1"/>
    </xf>
    <xf numFmtId="0" fontId="19" fillId="0" borderId="69" xfId="10" applyFont="1" applyBorder="1" applyAlignment="1">
      <alignment vertical="center" wrapText="1"/>
    </xf>
    <xf numFmtId="0" fontId="4" fillId="0" borderId="37" xfId="10" applyFont="1" applyBorder="1"/>
    <xf numFmtId="167" fontId="19" fillId="0" borderId="15" xfId="17" applyNumberFormat="1" applyFont="1" applyBorder="1" applyAlignment="1">
      <alignment horizontal="left"/>
    </xf>
    <xf numFmtId="167" fontId="19" fillId="0" borderId="36" xfId="17" applyNumberFormat="1" applyFont="1" applyBorder="1" applyAlignment="1">
      <alignment wrapText="1"/>
    </xf>
    <xf numFmtId="167" fontId="19" fillId="0" borderId="4" xfId="17" applyNumberFormat="1" applyFont="1" applyBorder="1" applyAlignment="1">
      <alignment wrapText="1"/>
    </xf>
    <xf numFmtId="0" fontId="11" fillId="0" borderId="1" xfId="10" applyFont="1" applyBorder="1" applyAlignment="1">
      <alignment vertical="top" wrapText="1"/>
    </xf>
    <xf numFmtId="0" fontId="11" fillId="0" borderId="23" xfId="10" applyFont="1" applyBorder="1" applyAlignment="1">
      <alignment wrapText="1"/>
    </xf>
    <xf numFmtId="0" fontId="11" fillId="0" borderId="12" xfId="10" applyFont="1" applyBorder="1" applyAlignment="1">
      <alignment wrapText="1"/>
    </xf>
    <xf numFmtId="0" fontId="11" fillId="0" borderId="0" xfId="10" applyFont="1" applyAlignment="1">
      <alignment wrapText="1"/>
    </xf>
    <xf numFmtId="0" fontId="11" fillId="0" borderId="6" xfId="10" applyFont="1" applyBorder="1" applyAlignment="1">
      <alignment wrapText="1"/>
    </xf>
    <xf numFmtId="0" fontId="11" fillId="0" borderId="1" xfId="10" applyFont="1" applyBorder="1" applyAlignment="1">
      <alignment wrapText="1"/>
    </xf>
    <xf numFmtId="0" fontId="11" fillId="0" borderId="2" xfId="10" applyFont="1" applyBorder="1" applyAlignment="1">
      <alignment wrapText="1"/>
    </xf>
    <xf numFmtId="0" fontId="13" fillId="0" borderId="88" xfId="10" applyFont="1" applyBorder="1" applyAlignment="1">
      <alignment vertical="top" wrapText="1"/>
    </xf>
    <xf numFmtId="0" fontId="13" fillId="0" borderId="87" xfId="10" applyFont="1" applyBorder="1" applyAlignment="1">
      <alignment horizontal="center" vertical="top"/>
    </xf>
    <xf numFmtId="0" fontId="13" fillId="0" borderId="8" xfId="10" applyFont="1" applyBorder="1" applyAlignment="1">
      <alignment horizontal="center" vertical="top" wrapText="1"/>
    </xf>
    <xf numFmtId="0" fontId="13" fillId="0" borderId="8" xfId="0" applyFont="1" applyBorder="1" applyAlignment="1">
      <alignment horizontal="center" vertical="top"/>
    </xf>
    <xf numFmtId="0" fontId="13" fillId="0" borderId="9" xfId="10" applyFont="1" applyBorder="1" applyAlignment="1">
      <alignment horizontal="center" vertical="top" wrapText="1"/>
    </xf>
    <xf numFmtId="0" fontId="13" fillId="0" borderId="10" xfId="10" applyFont="1" applyBorder="1" applyAlignment="1">
      <alignment horizontal="center" vertical="top" wrapText="1"/>
    </xf>
    <xf numFmtId="0" fontId="19" fillId="0" borderId="86" xfId="10" applyFont="1" applyBorder="1" applyAlignment="1">
      <alignment horizontal="center" vertical="top" textRotation="255"/>
    </xf>
    <xf numFmtId="0" fontId="13" fillId="0" borderId="4" xfId="10" applyFont="1" applyBorder="1" applyAlignment="1">
      <alignment horizontal="center" vertical="top"/>
    </xf>
    <xf numFmtId="0" fontId="13" fillId="0" borderId="4" xfId="10" applyFont="1" applyBorder="1" applyAlignment="1">
      <alignment horizontal="center" vertical="top" wrapText="1"/>
    </xf>
    <xf numFmtId="0" fontId="13" fillId="0" borderId="4" xfId="0" applyFont="1" applyBorder="1" applyAlignment="1">
      <alignment horizontal="center" vertical="top"/>
    </xf>
    <xf numFmtId="0" fontId="19" fillId="0" borderId="74" xfId="10" applyFont="1" applyBorder="1" applyAlignment="1">
      <alignment horizontal="center" vertical="center" wrapText="1"/>
    </xf>
    <xf numFmtId="0" fontId="19" fillId="0" borderId="71" xfId="0" applyFont="1" applyBorder="1" applyAlignment="1">
      <alignment vertical="center" wrapText="1"/>
    </xf>
    <xf numFmtId="0" fontId="14" fillId="0" borderId="6" xfId="10" applyFont="1" applyBorder="1" applyAlignment="1">
      <alignment horizontal="center"/>
    </xf>
    <xf numFmtId="0" fontId="14" fillId="0" borderId="6" xfId="10" applyFont="1" applyBorder="1"/>
    <xf numFmtId="0" fontId="14" fillId="0" borderId="4" xfId="10" applyFont="1" applyBorder="1" applyAlignment="1">
      <alignment horizontal="center"/>
    </xf>
    <xf numFmtId="0" fontId="14" fillId="0" borderId="4" xfId="10" applyFont="1" applyBorder="1"/>
    <xf numFmtId="0" fontId="19" fillId="0" borderId="69" xfId="0" applyFont="1" applyBorder="1" applyAlignment="1">
      <alignment vertical="center" wrapText="1"/>
    </xf>
    <xf numFmtId="0" fontId="19" fillId="0" borderId="72" xfId="0" applyFont="1" applyBorder="1" applyAlignment="1">
      <alignment vertical="center" wrapText="1"/>
    </xf>
    <xf numFmtId="0" fontId="19" fillId="0" borderId="123" xfId="10" applyFont="1" applyBorder="1" applyAlignment="1">
      <alignment horizontal="center" vertical="center" wrapText="1"/>
    </xf>
    <xf numFmtId="0" fontId="19" fillId="0" borderId="2" xfId="0" applyFont="1" applyBorder="1" applyAlignment="1">
      <alignment vertical="center" wrapText="1"/>
    </xf>
    <xf numFmtId="0" fontId="19" fillId="0" borderId="5" xfId="0" applyFont="1" applyBorder="1" applyAlignment="1">
      <alignment vertical="center" wrapText="1"/>
    </xf>
    <xf numFmtId="0" fontId="19" fillId="0" borderId="75" xfId="0" applyFont="1" applyBorder="1" applyAlignment="1">
      <alignment vertical="center" wrapText="1"/>
    </xf>
    <xf numFmtId="0" fontId="19" fillId="0" borderId="78" xfId="0" applyFont="1" applyBorder="1" applyAlignment="1">
      <alignment vertical="center" wrapText="1"/>
    </xf>
    <xf numFmtId="0" fontId="23" fillId="0" borderId="20" xfId="0" applyFont="1" applyBorder="1" applyAlignment="1">
      <alignment vertical="center" wrapText="1"/>
    </xf>
    <xf numFmtId="0" fontId="19" fillId="0" borderId="76" xfId="0" applyFont="1" applyBorder="1" applyAlignment="1">
      <alignment vertical="center" wrapText="1"/>
    </xf>
    <xf numFmtId="0" fontId="23" fillId="0" borderId="41" xfId="0" applyFont="1" applyBorder="1" applyAlignment="1">
      <alignment vertical="center" wrapText="1"/>
    </xf>
    <xf numFmtId="0" fontId="19" fillId="0" borderId="10" xfId="0" applyFont="1" applyBorder="1" applyAlignment="1">
      <alignment vertical="center" wrapText="1"/>
    </xf>
    <xf numFmtId="0" fontId="19" fillId="0" borderId="41" xfId="0" applyFont="1" applyBorder="1" applyAlignment="1">
      <alignment vertical="center" wrapText="1"/>
    </xf>
    <xf numFmtId="0" fontId="9" fillId="0" borderId="4" xfId="10" applyFont="1" applyBorder="1" applyAlignment="1">
      <alignment horizontal="center"/>
    </xf>
    <xf numFmtId="0" fontId="9" fillId="0" borderId="4" xfId="10" applyFont="1" applyBorder="1"/>
    <xf numFmtId="0" fontId="19" fillId="0" borderId="5" xfId="0" applyFont="1" applyBorder="1" applyAlignment="1">
      <alignment horizontal="left" vertical="center" wrapText="1"/>
    </xf>
    <xf numFmtId="0" fontId="23" fillId="0" borderId="69" xfId="0" applyFont="1" applyBorder="1" applyAlignment="1">
      <alignment vertical="center" wrapText="1"/>
    </xf>
    <xf numFmtId="0" fontId="19" fillId="0" borderId="107" xfId="0" applyFont="1" applyBorder="1" applyAlignment="1">
      <alignment vertical="center"/>
    </xf>
    <xf numFmtId="0" fontId="19" fillId="0" borderId="0" xfId="0" applyFont="1" applyAlignment="1">
      <alignment vertical="center"/>
    </xf>
    <xf numFmtId="0" fontId="19" fillId="0" borderId="77" xfId="0" applyFont="1" applyBorder="1" applyAlignment="1">
      <alignment vertical="center" wrapText="1"/>
    </xf>
    <xf numFmtId="0" fontId="19" fillId="0" borderId="41" xfId="0" applyFont="1" applyBorder="1" applyAlignment="1">
      <alignment horizontal="left" vertical="center" wrapText="1"/>
    </xf>
    <xf numFmtId="0" fontId="23" fillId="0" borderId="41" xfId="0" applyFont="1" applyBorder="1" applyAlignment="1">
      <alignment horizontal="left" vertical="center" wrapText="1"/>
    </xf>
    <xf numFmtId="0" fontId="19" fillId="0" borderId="21" xfId="0" applyFont="1" applyBorder="1" applyAlignment="1">
      <alignment vertical="center" wrapText="1"/>
    </xf>
    <xf numFmtId="0" fontId="19" fillId="0" borderId="0" xfId="0" applyFont="1" applyAlignment="1">
      <alignment vertical="center" wrapText="1"/>
    </xf>
    <xf numFmtId="0" fontId="19" fillId="0" borderId="121" xfId="0" applyFont="1" applyBorder="1" applyAlignment="1">
      <alignment horizontal="left" vertical="center" wrapText="1"/>
    </xf>
    <xf numFmtId="0" fontId="23" fillId="0" borderId="122" xfId="0" applyFont="1" applyBorder="1" applyAlignment="1">
      <alignment vertical="center" wrapText="1"/>
    </xf>
    <xf numFmtId="0" fontId="19" fillId="0" borderId="73" xfId="0" applyFont="1" applyBorder="1" applyAlignment="1">
      <alignment vertical="center" wrapText="1"/>
    </xf>
    <xf numFmtId="0" fontId="1" fillId="0" borderId="0" xfId="11" applyFont="1"/>
    <xf numFmtId="49" fontId="19" fillId="0" borderId="1" xfId="11" applyNumberFormat="1" applyFont="1" applyBorder="1" applyAlignment="1">
      <alignment horizontal="center" vertical="center"/>
    </xf>
    <xf numFmtId="0" fontId="19" fillId="0" borderId="1" xfId="11" applyFont="1" applyBorder="1"/>
    <xf numFmtId="0" fontId="19" fillId="0" borderId="24" xfId="11" applyFont="1" applyBorder="1"/>
    <xf numFmtId="0" fontId="19" fillId="0" borderId="23" xfId="11" applyFont="1" applyBorder="1"/>
    <xf numFmtId="49" fontId="19" fillId="0" borderId="23" xfId="11" applyNumberFormat="1" applyFont="1" applyBorder="1" applyAlignment="1">
      <alignment horizontal="center" vertical="center"/>
    </xf>
    <xf numFmtId="0" fontId="19" fillId="0" borderId="0" xfId="11" applyFont="1" applyAlignment="1">
      <alignment horizontal="left" vertical="center"/>
    </xf>
    <xf numFmtId="0" fontId="23" fillId="0" borderId="0" xfId="11" applyFont="1"/>
    <xf numFmtId="0" fontId="19" fillId="0" borderId="35" xfId="11" applyFont="1" applyBorder="1"/>
    <xf numFmtId="0" fontId="19" fillId="0" borderId="22" xfId="11" applyFont="1" applyBorder="1"/>
    <xf numFmtId="167" fontId="23" fillId="0" borderId="8" xfId="11" applyNumberFormat="1" applyFont="1" applyBorder="1" applyAlignment="1">
      <alignment horizontal="left"/>
    </xf>
    <xf numFmtId="0" fontId="19" fillId="0" borderId="54" xfId="11" applyFont="1" applyBorder="1"/>
    <xf numFmtId="0" fontId="19" fillId="0" borderId="53" xfId="11" applyFont="1" applyBorder="1"/>
    <xf numFmtId="0" fontId="23" fillId="0" borderId="53" xfId="11" applyFont="1" applyBorder="1"/>
    <xf numFmtId="49" fontId="19" fillId="0" borderId="14" xfId="11" applyNumberFormat="1" applyFont="1" applyBorder="1" applyAlignment="1">
      <alignment horizontal="left" vertical="top"/>
    </xf>
    <xf numFmtId="0" fontId="19" fillId="0" borderId="6" xfId="11" applyFont="1" applyBorder="1"/>
    <xf numFmtId="49" fontId="19" fillId="0" borderId="43" xfId="11" applyNumberFormat="1" applyFont="1" applyBorder="1" applyAlignment="1">
      <alignment horizontal="left" vertical="top"/>
    </xf>
    <xf numFmtId="0" fontId="19" fillId="0" borderId="21" xfId="11" applyFont="1" applyBorder="1" applyAlignment="1">
      <alignment vertical="top"/>
    </xf>
    <xf numFmtId="0" fontId="19" fillId="0" borderId="4" xfId="11" applyFont="1" applyBorder="1"/>
    <xf numFmtId="49" fontId="19" fillId="0" borderId="15" xfId="11" applyNumberFormat="1" applyFont="1" applyBorder="1" applyAlignment="1">
      <alignment horizontal="left" vertical="top"/>
    </xf>
    <xf numFmtId="0" fontId="23" fillId="0" borderId="41" xfId="11" applyFont="1" applyBorder="1" applyAlignment="1">
      <alignment vertical="top"/>
    </xf>
    <xf numFmtId="0" fontId="23" fillId="0" borderId="21" xfId="11" applyFont="1" applyBorder="1" applyAlignment="1">
      <alignment vertical="top"/>
    </xf>
    <xf numFmtId="0" fontId="19" fillId="0" borderId="5" xfId="11" applyFont="1" applyBorder="1"/>
    <xf numFmtId="0" fontId="19" fillId="0" borderId="12" xfId="11" applyFont="1" applyBorder="1"/>
    <xf numFmtId="167" fontId="23" fillId="0" borderId="9" xfId="11" applyNumberFormat="1" applyFont="1" applyBorder="1"/>
    <xf numFmtId="167" fontId="23" fillId="0" borderId="22" xfId="11" applyNumberFormat="1" applyFont="1" applyBorder="1"/>
    <xf numFmtId="0" fontId="19" fillId="0" borderId="10" xfId="11" applyFont="1" applyBorder="1"/>
    <xf numFmtId="0" fontId="19" fillId="0" borderId="1" xfId="11" applyFont="1" applyBorder="1" applyAlignment="1">
      <alignment horizontal="center" vertical="top" wrapText="1"/>
    </xf>
    <xf numFmtId="0" fontId="19" fillId="0" borderId="0" xfId="11" applyFont="1" applyAlignment="1">
      <alignment horizontal="center" vertical="top" wrapText="1"/>
    </xf>
    <xf numFmtId="0" fontId="19" fillId="0" borderId="2" xfId="11" applyFont="1" applyBorder="1" applyAlignment="1">
      <alignment horizontal="center" vertical="top" wrapText="1"/>
    </xf>
    <xf numFmtId="0" fontId="19" fillId="0" borderId="0" xfId="11" applyFont="1" applyAlignment="1">
      <alignment vertical="top" wrapText="1"/>
    </xf>
    <xf numFmtId="0" fontId="19" fillId="0" borderId="2" xfId="11" applyFont="1" applyBorder="1" applyAlignment="1">
      <alignment vertical="top" wrapText="1"/>
    </xf>
    <xf numFmtId="0" fontId="19" fillId="0" borderId="4" xfId="11" applyFont="1" applyBorder="1" applyAlignment="1">
      <alignment vertical="top" wrapText="1"/>
    </xf>
    <xf numFmtId="0" fontId="19" fillId="0" borderId="24" xfId="11" applyFont="1" applyBorder="1" applyAlignment="1">
      <alignment wrapText="1"/>
    </xf>
    <xf numFmtId="0" fontId="19" fillId="0" borderId="5" xfId="11" applyFont="1" applyBorder="1" applyAlignment="1">
      <alignment wrapText="1"/>
    </xf>
    <xf numFmtId="167" fontId="23" fillId="0" borderId="43" xfId="11" applyNumberFormat="1" applyFont="1" applyBorder="1" applyAlignment="1">
      <alignment horizontal="left" vertical="top"/>
    </xf>
    <xf numFmtId="0" fontId="19" fillId="0" borderId="2" xfId="11" applyFont="1" applyBorder="1"/>
    <xf numFmtId="167" fontId="23" fillId="0" borderId="2" xfId="11" applyNumberFormat="1" applyFont="1" applyBorder="1" applyAlignment="1">
      <alignment horizontal="left" vertical="top"/>
    </xf>
    <xf numFmtId="0" fontId="19" fillId="0" borderId="43" xfId="11" applyFont="1" applyBorder="1"/>
    <xf numFmtId="0" fontId="19" fillId="0" borderId="68" xfId="11" applyFont="1" applyBorder="1"/>
    <xf numFmtId="0" fontId="23" fillId="0" borderId="18" xfId="11" applyFont="1" applyBorder="1" applyAlignment="1">
      <alignment horizontal="center" vertical="center" wrapText="1"/>
    </xf>
    <xf numFmtId="0" fontId="23" fillId="0" borderId="10" xfId="11" applyFont="1" applyBorder="1" applyAlignment="1">
      <alignment horizontal="center" vertical="center" wrapText="1"/>
    </xf>
    <xf numFmtId="49" fontId="19" fillId="0" borderId="14" xfId="11" applyNumberFormat="1" applyFont="1" applyBorder="1" applyAlignment="1">
      <alignment vertical="top"/>
    </xf>
    <xf numFmtId="0" fontId="19" fillId="0" borderId="12" xfId="11" applyFont="1" applyBorder="1" applyAlignment="1">
      <alignment vertical="top" wrapText="1"/>
    </xf>
    <xf numFmtId="0" fontId="1" fillId="0" borderId="4" xfId="11" applyFont="1" applyBorder="1"/>
    <xf numFmtId="49" fontId="19" fillId="0" borderId="43" xfId="11" applyNumberFormat="1" applyFont="1" applyBorder="1" applyAlignment="1">
      <alignment vertical="top"/>
    </xf>
    <xf numFmtId="0" fontId="19" fillId="0" borderId="3" xfId="11" applyFont="1" applyBorder="1"/>
    <xf numFmtId="49" fontId="19" fillId="0" borderId="15" xfId="11" applyNumberFormat="1" applyFont="1" applyBorder="1" applyAlignment="1">
      <alignment vertical="top"/>
    </xf>
    <xf numFmtId="0" fontId="19" fillId="0" borderId="5" xfId="11" applyFont="1" applyBorder="1" applyAlignment="1">
      <alignment vertical="top" wrapText="1"/>
    </xf>
    <xf numFmtId="1" fontId="7" fillId="0" borderId="0" xfId="2" applyNumberFormat="1" applyFont="1" applyFill="1" applyBorder="1" applyAlignment="1">
      <alignment horizontal="left" vertical="center"/>
    </xf>
    <xf numFmtId="0" fontId="8" fillId="0" borderId="0" xfId="0" applyFont="1"/>
    <xf numFmtId="0" fontId="8" fillId="0" borderId="5" xfId="0" applyFont="1" applyBorder="1"/>
    <xf numFmtId="0" fontId="19" fillId="0" borderId="14" xfId="10" applyFont="1" applyBorder="1" applyAlignment="1">
      <alignment horizontal="center" vertical="center" wrapText="1"/>
    </xf>
    <xf numFmtId="0" fontId="19" fillId="0" borderId="12" xfId="0" applyFont="1" applyBorder="1" applyAlignment="1">
      <alignment horizontal="left" vertical="center" wrapText="1"/>
    </xf>
    <xf numFmtId="0" fontId="19" fillId="0" borderId="14" xfId="0" applyFont="1" applyBorder="1" applyAlignment="1">
      <alignment horizontal="center" vertical="center"/>
    </xf>
    <xf numFmtId="0" fontId="19" fillId="0" borderId="2" xfId="0" applyFont="1" applyBorder="1" applyAlignment="1">
      <alignment horizontal="left" vertical="center"/>
    </xf>
    <xf numFmtId="0" fontId="19" fillId="0" borderId="5" xfId="0" applyFont="1" applyBorder="1" applyAlignment="1">
      <alignment vertical="top" wrapText="1"/>
    </xf>
    <xf numFmtId="1" fontId="23" fillId="0" borderId="0" xfId="3" applyNumberFormat="1" applyFont="1" applyFill="1" applyBorder="1" applyAlignment="1">
      <alignment horizontal="left" vertical="center"/>
    </xf>
    <xf numFmtId="0" fontId="23" fillId="0" borderId="0" xfId="17" applyFont="1" applyAlignment="1">
      <alignment vertical="top"/>
    </xf>
    <xf numFmtId="0" fontId="23" fillId="0" borderId="0" xfId="0" applyFont="1" applyAlignment="1">
      <alignment wrapText="1"/>
    </xf>
    <xf numFmtId="0" fontId="19" fillId="0" borderId="8" xfId="17" applyFont="1" applyBorder="1" applyAlignment="1">
      <alignment vertical="top" wrapText="1"/>
    </xf>
    <xf numFmtId="0" fontId="23" fillId="0" borderId="0" xfId="0" applyFont="1"/>
    <xf numFmtId="0" fontId="23" fillId="0" borderId="6" xfId="0" applyFont="1" applyBorder="1" applyAlignment="1">
      <alignment wrapText="1"/>
    </xf>
    <xf numFmtId="0" fontId="20" fillId="0" borderId="8" xfId="0" applyFont="1" applyBorder="1"/>
    <xf numFmtId="0" fontId="20" fillId="0" borderId="6" xfId="0" applyFont="1" applyBorder="1"/>
    <xf numFmtId="0" fontId="19" fillId="0" borderId="0" xfId="0" applyFont="1" applyAlignment="1">
      <alignment horizontal="right"/>
    </xf>
    <xf numFmtId="0" fontId="19" fillId="0" borderId="8" xfId="0" applyFont="1" applyBorder="1"/>
    <xf numFmtId="0" fontId="4" fillId="0" borderId="0" xfId="0" applyFont="1" applyAlignment="1">
      <alignment vertical="top" wrapText="1"/>
    </xf>
    <xf numFmtId="49" fontId="12" fillId="0" borderId="0" xfId="3" applyNumberFormat="1" applyFont="1" applyFill="1" applyBorder="1" applyAlignment="1">
      <alignment horizontal="left" vertical="center"/>
    </xf>
    <xf numFmtId="167" fontId="19" fillId="0" borderId="10" xfId="17" applyNumberFormat="1" applyFont="1" applyBorder="1" applyAlignment="1">
      <alignment vertical="top"/>
    </xf>
    <xf numFmtId="0" fontId="19" fillId="0" borderId="10" xfId="0" applyFont="1" applyBorder="1"/>
    <xf numFmtId="167" fontId="19" fillId="0" borderId="22" xfId="17" applyNumberFormat="1" applyFont="1" applyBorder="1" applyAlignment="1">
      <alignment horizontal="left" vertical="top"/>
    </xf>
    <xf numFmtId="167" fontId="19" fillId="0" borderId="9" xfId="17" applyNumberFormat="1" applyFont="1" applyBorder="1" applyAlignment="1">
      <alignment horizontal="left" vertical="top"/>
    </xf>
    <xf numFmtId="0" fontId="19" fillId="0" borderId="22" xfId="0" applyFont="1" applyBorder="1" applyAlignment="1">
      <alignment vertical="top"/>
    </xf>
    <xf numFmtId="167" fontId="19" fillId="0" borderId="8" xfId="17" applyNumberFormat="1" applyFont="1" applyBorder="1" applyAlignment="1">
      <alignment horizontal="left" vertical="top"/>
    </xf>
    <xf numFmtId="0" fontId="19" fillId="0" borderId="22" xfId="0" applyFont="1" applyBorder="1"/>
    <xf numFmtId="0" fontId="11" fillId="0" borderId="1" xfId="0" applyFont="1" applyBorder="1" applyAlignment="1">
      <alignment textRotation="90"/>
    </xf>
    <xf numFmtId="0" fontId="11" fillId="0" borderId="0" xfId="0" applyFont="1" applyAlignment="1">
      <alignment textRotation="90"/>
    </xf>
    <xf numFmtId="0" fontId="11" fillId="0" borderId="2" xfId="0" applyFont="1" applyBorder="1" applyAlignment="1">
      <alignment textRotation="90"/>
    </xf>
    <xf numFmtId="0" fontId="13" fillId="0" borderId="0" xfId="0" applyFont="1" applyAlignment="1">
      <alignment vertical="center"/>
    </xf>
    <xf numFmtId="0" fontId="13" fillId="0" borderId="3" xfId="0" applyFont="1" applyBorder="1" applyAlignment="1">
      <alignment vertical="center"/>
    </xf>
    <xf numFmtId="0" fontId="19" fillId="0" borderId="3" xfId="0" applyFont="1" applyBorder="1" applyAlignment="1">
      <alignment horizontal="left" vertical="top"/>
    </xf>
    <xf numFmtId="0" fontId="1" fillId="0" borderId="3" xfId="0" applyFont="1" applyBorder="1" applyAlignment="1">
      <alignment vertical="top" wrapText="1"/>
    </xf>
    <xf numFmtId="0" fontId="19" fillId="0" borderId="3" xfId="0" applyFont="1" applyBorder="1" applyAlignment="1">
      <alignment horizontal="left"/>
    </xf>
    <xf numFmtId="0" fontId="19" fillId="0" borderId="0" xfId="0" applyFont="1" applyAlignment="1">
      <alignment horizontal="left"/>
    </xf>
    <xf numFmtId="0" fontId="19" fillId="0" borderId="2" xfId="0" applyFont="1" applyBorder="1" applyAlignment="1">
      <alignment horizontal="left"/>
    </xf>
    <xf numFmtId="0" fontId="19" fillId="0" borderId="1" xfId="0" applyFont="1" applyBorder="1" applyAlignment="1">
      <alignment horizontal="left"/>
    </xf>
    <xf numFmtId="0" fontId="23" fillId="0" borderId="3" xfId="0" applyFont="1" applyBorder="1" applyAlignment="1">
      <alignment vertical="top" wrapText="1"/>
    </xf>
    <xf numFmtId="0" fontId="19" fillId="0" borderId="1" xfId="0" applyFont="1" applyBorder="1" applyAlignment="1">
      <alignment wrapText="1"/>
    </xf>
    <xf numFmtId="0" fontId="19" fillId="0" borderId="0" xfId="0" applyFont="1" applyAlignment="1">
      <alignment horizontal="left" vertical="top"/>
    </xf>
    <xf numFmtId="0" fontId="1" fillId="0" borderId="3" xfId="0" applyFont="1" applyBorder="1" applyAlignment="1">
      <alignment horizontal="left" vertical="top" wrapText="1"/>
    </xf>
    <xf numFmtId="0" fontId="11" fillId="0" borderId="0" xfId="0" applyFont="1" applyAlignment="1">
      <alignment horizontal="left"/>
    </xf>
    <xf numFmtId="0" fontId="11" fillId="0" borderId="3" xfId="0" applyFont="1" applyBorder="1" applyAlignment="1">
      <alignment horizontal="left"/>
    </xf>
    <xf numFmtId="0" fontId="11" fillId="0" borderId="0" xfId="0" applyFont="1"/>
    <xf numFmtId="0" fontId="19" fillId="0" borderId="1" xfId="0" applyFont="1" applyBorder="1" applyAlignment="1">
      <alignment horizontal="center" vertical="top" wrapText="1"/>
    </xf>
    <xf numFmtId="0" fontId="23" fillId="0" borderId="1" xfId="0" applyFont="1" applyBorder="1" applyAlignment="1">
      <alignment vertical="center" wrapText="1"/>
    </xf>
    <xf numFmtId="0" fontId="19" fillId="0" borderId="1" xfId="0" applyFont="1" applyBorder="1" applyAlignment="1">
      <alignment horizontal="left" vertical="top"/>
    </xf>
    <xf numFmtId="0" fontId="19" fillId="0" borderId="6" xfId="0" applyFont="1" applyBorder="1" applyAlignment="1">
      <alignment horizontal="left"/>
    </xf>
    <xf numFmtId="0" fontId="19" fillId="0" borderId="6" xfId="0" applyFont="1" applyBorder="1" applyAlignment="1">
      <alignment vertical="top" wrapText="1"/>
    </xf>
    <xf numFmtId="0" fontId="23" fillId="0" borderId="6" xfId="0" applyFont="1" applyBorder="1" applyAlignment="1">
      <alignment horizontal="center"/>
    </xf>
    <xf numFmtId="0" fontId="23" fillId="0" borderId="1" xfId="0" applyFont="1" applyBorder="1" applyAlignment="1">
      <alignment horizontal="center"/>
    </xf>
    <xf numFmtId="0" fontId="23" fillId="0" borderId="4" xfId="0" applyFont="1" applyBorder="1" applyAlignment="1">
      <alignment horizontal="center"/>
    </xf>
    <xf numFmtId="0" fontId="19" fillId="0" borderId="9" xfId="0" applyFont="1" applyBorder="1"/>
    <xf numFmtId="0" fontId="23" fillId="0" borderId="51" xfId="0" applyFont="1" applyBorder="1" applyAlignment="1">
      <alignment horizontal="center"/>
    </xf>
    <xf numFmtId="0" fontId="23" fillId="0" borderId="18" xfId="0" applyFont="1" applyBorder="1" applyAlignment="1">
      <alignment horizontal="center"/>
    </xf>
    <xf numFmtId="0" fontId="23" fillId="0" borderId="52" xfId="0" applyFont="1" applyBorder="1" applyAlignment="1">
      <alignment horizontal="center"/>
    </xf>
    <xf numFmtId="0" fontId="23" fillId="0" borderId="53" xfId="0" applyFont="1" applyBorder="1" applyAlignment="1">
      <alignment horizontal="center"/>
    </xf>
    <xf numFmtId="0" fontId="23" fillId="0" borderId="54" xfId="0" applyFont="1" applyBorder="1" applyAlignment="1">
      <alignment horizontal="center"/>
    </xf>
    <xf numFmtId="0" fontId="19" fillId="0" borderId="52" xfId="0" applyFont="1" applyBorder="1" applyAlignment="1">
      <alignment horizontal="center" vertical="top" wrapText="1"/>
    </xf>
    <xf numFmtId="0" fontId="19" fillId="0" borderId="54" xfId="0" applyFont="1" applyBorder="1" applyAlignment="1">
      <alignment horizontal="center"/>
    </xf>
    <xf numFmtId="0" fontId="19" fillId="0" borderId="44" xfId="0" applyFont="1" applyBorder="1" applyAlignment="1">
      <alignment horizontal="center"/>
    </xf>
    <xf numFmtId="0" fontId="19" fillId="0" borderId="51" xfId="0" applyFont="1" applyBorder="1" applyAlignment="1">
      <alignment horizontal="center"/>
    </xf>
    <xf numFmtId="0" fontId="19" fillId="0" borderId="53" xfId="0" applyFont="1" applyBorder="1" applyAlignment="1">
      <alignment horizontal="center"/>
    </xf>
    <xf numFmtId="0" fontId="20" fillId="0" borderId="23" xfId="0" applyFont="1" applyBorder="1" applyAlignment="1">
      <alignment horizontal="center"/>
    </xf>
    <xf numFmtId="0" fontId="20" fillId="0" borderId="12" xfId="0" applyFont="1" applyBorder="1" applyAlignment="1">
      <alignment horizontal="center"/>
    </xf>
    <xf numFmtId="0" fontId="20" fillId="0" borderId="24" xfId="0" applyFont="1" applyBorder="1"/>
    <xf numFmtId="0" fontId="20" fillId="0" borderId="12" xfId="0" applyFont="1" applyBorder="1"/>
    <xf numFmtId="0" fontId="20" fillId="0" borderId="3" xfId="0" applyFont="1" applyBorder="1"/>
    <xf numFmtId="0" fontId="19" fillId="0" borderId="37" xfId="0" applyFont="1" applyBorder="1"/>
    <xf numFmtId="0" fontId="1" fillId="0" borderId="1" xfId="0" applyFont="1" applyBorder="1" applyAlignment="1">
      <alignment horizontal="center"/>
    </xf>
    <xf numFmtId="0" fontId="1" fillId="0" borderId="23" xfId="0" applyFont="1" applyBorder="1"/>
    <xf numFmtId="0" fontId="23" fillId="0" borderId="4" xfId="17" applyFont="1" applyBorder="1" applyAlignment="1">
      <alignment horizontal="center"/>
    </xf>
    <xf numFmtId="0" fontId="19" fillId="0" borderId="5" xfId="0" applyFont="1" applyBorder="1"/>
    <xf numFmtId="0" fontId="19" fillId="0" borderId="36" xfId="0" applyFont="1" applyBorder="1"/>
    <xf numFmtId="0" fontId="20" fillId="0" borderId="4" xfId="0" applyFont="1" applyBorder="1"/>
    <xf numFmtId="0" fontId="20" fillId="0" borderId="2" xfId="0" applyFont="1" applyBorder="1" applyAlignment="1">
      <alignment horizontal="center"/>
    </xf>
    <xf numFmtId="0" fontId="20" fillId="0" borderId="2" xfId="0" applyFont="1" applyBorder="1"/>
    <xf numFmtId="0" fontId="1" fillId="0" borderId="37" xfId="0" applyFont="1" applyBorder="1" applyAlignment="1">
      <alignment horizontal="center"/>
    </xf>
    <xf numFmtId="0" fontId="1" fillId="0" borderId="37" xfId="0" applyFont="1" applyBorder="1"/>
    <xf numFmtId="0" fontId="1" fillId="0" borderId="36" xfId="0" applyFont="1" applyBorder="1"/>
    <xf numFmtId="0" fontId="20" fillId="0" borderId="5" xfId="0" applyFont="1" applyBorder="1" applyAlignment="1">
      <alignment horizontal="center"/>
    </xf>
    <xf numFmtId="0" fontId="20" fillId="0" borderId="36" xfId="0" applyFont="1" applyBorder="1"/>
    <xf numFmtId="0" fontId="20" fillId="0" borderId="5" xfId="0" applyFont="1" applyBorder="1"/>
    <xf numFmtId="0" fontId="1" fillId="0" borderId="9" xfId="0" applyFont="1" applyBorder="1"/>
    <xf numFmtId="0" fontId="1" fillId="0" borderId="22" xfId="0" applyFont="1" applyBorder="1"/>
    <xf numFmtId="0" fontId="20" fillId="0" borderId="37" xfId="0" applyFont="1" applyBorder="1"/>
    <xf numFmtId="167" fontId="19" fillId="5" borderId="2" xfId="17" applyNumberFormat="1" applyFont="1" applyFill="1" applyBorder="1"/>
    <xf numFmtId="0" fontId="23" fillId="0" borderId="0" xfId="19" applyFont="1" applyAlignment="1">
      <alignment vertical="top" wrapText="1" readingOrder="1"/>
    </xf>
    <xf numFmtId="0" fontId="23" fillId="0" borderId="24" xfId="19" applyFont="1" applyBorder="1" applyAlignment="1">
      <alignment vertical="top" wrapText="1" readingOrder="1"/>
    </xf>
    <xf numFmtId="167" fontId="23" fillId="0" borderId="16" xfId="17" applyNumberFormat="1" applyFont="1" applyBorder="1" applyAlignment="1">
      <alignment horizontal="center"/>
    </xf>
    <xf numFmtId="0" fontId="11" fillId="0" borderId="3" xfId="19" applyFont="1" applyBorder="1" applyAlignment="1">
      <alignment horizontal="left" readingOrder="1"/>
    </xf>
    <xf numFmtId="0" fontId="11" fillId="0" borderId="2" xfId="19" applyFont="1" applyBorder="1" applyAlignment="1">
      <alignment horizontal="left" readingOrder="1"/>
    </xf>
    <xf numFmtId="0" fontId="13" fillId="0" borderId="51" xfId="19" applyFont="1" applyBorder="1" applyAlignment="1">
      <alignment horizontal="left" readingOrder="1"/>
    </xf>
    <xf numFmtId="0" fontId="13" fillId="0" borderId="53" xfId="19" applyFont="1" applyBorder="1" applyAlignment="1">
      <alignment horizontal="left" readingOrder="1"/>
    </xf>
    <xf numFmtId="0" fontId="11" fillId="0" borderId="139" xfId="19" applyFont="1" applyBorder="1" applyAlignment="1">
      <alignment horizontal="left" readingOrder="1"/>
    </xf>
    <xf numFmtId="0" fontId="11" fillId="0" borderId="12" xfId="19" applyFont="1" applyBorder="1" applyAlignment="1">
      <alignment horizontal="left" readingOrder="1"/>
    </xf>
    <xf numFmtId="0" fontId="11" fillId="0" borderId="130" xfId="19" applyFont="1" applyBorder="1" applyAlignment="1">
      <alignment horizontal="left" readingOrder="1"/>
    </xf>
    <xf numFmtId="0" fontId="13" fillId="0" borderId="130" xfId="19" applyFont="1" applyBorder="1" applyAlignment="1">
      <alignment horizontal="left" readingOrder="1"/>
    </xf>
    <xf numFmtId="0" fontId="13" fillId="0" borderId="12" xfId="19" applyFont="1" applyBorder="1" applyAlignment="1">
      <alignment horizontal="left" readingOrder="1"/>
    </xf>
    <xf numFmtId="167" fontId="23" fillId="0" borderId="128" xfId="17" applyNumberFormat="1" applyFont="1" applyBorder="1" applyAlignment="1">
      <alignment horizontal="left"/>
    </xf>
    <xf numFmtId="1" fontId="19" fillId="0" borderId="105" xfId="3" applyNumberFormat="1" applyFont="1" applyFill="1" applyBorder="1" applyAlignment="1">
      <alignment horizontal="center"/>
    </xf>
    <xf numFmtId="1" fontId="23" fillId="0" borderId="134" xfId="3" applyNumberFormat="1" applyFont="1" applyFill="1" applyBorder="1" applyAlignment="1">
      <alignment horizontal="center" wrapText="1"/>
    </xf>
    <xf numFmtId="1" fontId="23" fillId="0" borderId="143" xfId="3" applyNumberFormat="1" applyFont="1" applyFill="1" applyBorder="1" applyAlignment="1">
      <alignment horizontal="center" wrapText="1"/>
    </xf>
    <xf numFmtId="0" fontId="20" fillId="0" borderId="3" xfId="10" applyFont="1" applyBorder="1" applyAlignment="1">
      <alignment wrapText="1"/>
    </xf>
    <xf numFmtId="0" fontId="20" fillId="0" borderId="1" xfId="10" applyFont="1" applyBorder="1" applyAlignment="1">
      <alignment wrapText="1"/>
    </xf>
    <xf numFmtId="0" fontId="20" fillId="0" borderId="0" xfId="10" applyFont="1" applyAlignment="1">
      <alignment wrapText="1"/>
    </xf>
    <xf numFmtId="0" fontId="20" fillId="0" borderId="105" xfId="10" applyFont="1" applyBorder="1" applyAlignment="1">
      <alignment wrapText="1"/>
    </xf>
    <xf numFmtId="0" fontId="19" fillId="0" borderId="0" xfId="0" applyFont="1" applyAlignment="1">
      <alignment horizontal="left" vertical="center"/>
    </xf>
    <xf numFmtId="0" fontId="23" fillId="0" borderId="50" xfId="17" applyFont="1" applyBorder="1" applyAlignment="1">
      <alignment horizontal="center" vertical="center" textRotation="90" wrapText="1"/>
    </xf>
    <xf numFmtId="166" fontId="19" fillId="0" borderId="0" xfId="15" applyNumberFormat="1" applyFont="1" applyAlignment="1">
      <alignment horizontal="left" vertical="center"/>
    </xf>
    <xf numFmtId="0" fontId="15" fillId="0" borderId="3" xfId="17" applyFont="1" applyBorder="1"/>
    <xf numFmtId="0" fontId="15" fillId="0" borderId="1" xfId="17" applyFont="1" applyBorder="1"/>
    <xf numFmtId="0" fontId="15" fillId="0" borderId="2" xfId="17" applyFont="1" applyBorder="1"/>
    <xf numFmtId="166" fontId="19" fillId="0" borderId="41" xfId="15" applyNumberFormat="1" applyFont="1" applyBorder="1" applyAlignment="1">
      <alignment horizontal="left" vertical="center"/>
    </xf>
    <xf numFmtId="0" fontId="15" fillId="0" borderId="8" xfId="17" applyFont="1" applyBorder="1"/>
    <xf numFmtId="0" fontId="15" fillId="0" borderId="9" xfId="17" applyFont="1" applyBorder="1"/>
    <xf numFmtId="0" fontId="15" fillId="0" borderId="10" xfId="17" applyFont="1" applyBorder="1"/>
    <xf numFmtId="166" fontId="19" fillId="0" borderId="41" xfId="15" applyNumberFormat="1" applyFont="1" applyBorder="1" applyAlignment="1">
      <alignment horizontal="left" vertical="center" wrapText="1"/>
    </xf>
    <xf numFmtId="0" fontId="23" fillId="0" borderId="2" xfId="17" applyFont="1" applyBorder="1" applyAlignment="1">
      <alignment vertical="center" textRotation="90" wrapText="1"/>
    </xf>
    <xf numFmtId="166" fontId="19" fillId="0" borderId="5" xfId="15" applyNumberFormat="1" applyFont="1" applyBorder="1" applyAlignment="1">
      <alignment horizontal="left" vertical="center" wrapText="1"/>
    </xf>
    <xf numFmtId="166" fontId="23" fillId="0" borderId="4" xfId="15" applyNumberFormat="1" applyFont="1" applyBorder="1" applyAlignment="1">
      <alignment horizontal="center" vertical="center"/>
    </xf>
    <xf numFmtId="0" fontId="23" fillId="0" borderId="8" xfId="17" applyFont="1" applyBorder="1" applyAlignment="1">
      <alignment horizontal="center" vertical="center"/>
    </xf>
    <xf numFmtId="167" fontId="23" fillId="0" borderId="4" xfId="17" applyNumberFormat="1" applyFont="1" applyBorder="1" applyAlignment="1">
      <alignment horizontal="center" vertical="top"/>
    </xf>
    <xf numFmtId="167" fontId="23" fillId="0" borderId="4" xfId="17" applyNumberFormat="1" applyFont="1" applyBorder="1" applyAlignment="1">
      <alignment horizontal="center"/>
    </xf>
    <xf numFmtId="0" fontId="19" fillId="0" borderId="8" xfId="0" applyFont="1" applyBorder="1" applyAlignment="1">
      <alignment vertical="center" wrapText="1"/>
    </xf>
    <xf numFmtId="0" fontId="19" fillId="0" borderId="9" xfId="0" applyFont="1" applyBorder="1" applyAlignment="1">
      <alignment horizontal="center" vertical="center" wrapText="1"/>
    </xf>
    <xf numFmtId="0" fontId="19" fillId="0" borderId="12" xfId="0" applyFont="1" applyBorder="1" applyAlignment="1">
      <alignment horizontal="left" vertical="top" wrapText="1"/>
    </xf>
    <xf numFmtId="0" fontId="1" fillId="0" borderId="6" xfId="0" applyFont="1" applyBorder="1" applyAlignment="1">
      <alignment horizontal="left" vertical="top" wrapText="1"/>
    </xf>
    <xf numFmtId="0" fontId="19" fillId="0" borderId="6" xfId="0" applyFont="1" applyBorder="1" applyAlignment="1">
      <alignment horizontal="left" vertical="top"/>
    </xf>
    <xf numFmtId="0" fontId="19" fillId="0" borderId="6" xfId="0" applyFont="1" applyBorder="1" applyAlignment="1">
      <alignment horizontal="center"/>
    </xf>
    <xf numFmtId="0" fontId="19" fillId="0" borderId="37" xfId="0" applyFont="1" applyBorder="1" applyAlignment="1">
      <alignment horizontal="center" vertical="center" wrapText="1"/>
    </xf>
    <xf numFmtId="0" fontId="11" fillId="0" borderId="4" xfId="0" applyFont="1" applyBorder="1" applyAlignment="1">
      <alignment horizontal="center" vertical="center" wrapText="1"/>
    </xf>
    <xf numFmtId="0" fontId="4" fillId="0" borderId="4" xfId="0" quotePrefix="1" applyFont="1" applyBorder="1" applyAlignment="1">
      <alignment horizontal="center" vertical="center"/>
    </xf>
    <xf numFmtId="0" fontId="19" fillId="0" borderId="12" xfId="0" applyFont="1" applyBorder="1"/>
    <xf numFmtId="0" fontId="8" fillId="0" borderId="4" xfId="0" applyFont="1" applyBorder="1" applyAlignment="1">
      <alignment horizontal="center" vertical="center" wrapText="1"/>
    </xf>
    <xf numFmtId="0" fontId="19" fillId="0" borderId="4" xfId="0" applyFont="1" applyBorder="1" applyAlignment="1">
      <alignment horizontal="left" vertical="top"/>
    </xf>
    <xf numFmtId="0" fontId="19" fillId="0" borderId="5" xfId="0" applyFont="1" applyBorder="1" applyAlignment="1">
      <alignment horizontal="center" vertical="top" wrapText="1"/>
    </xf>
    <xf numFmtId="0" fontId="19" fillId="0" borderId="8" xfId="0" applyFont="1" applyBorder="1" applyAlignment="1">
      <alignment horizontal="center" vertical="top"/>
    </xf>
    <xf numFmtId="0" fontId="19" fillId="0" borderId="4" xfId="0" applyFont="1" applyBorder="1" applyAlignment="1">
      <alignment vertical="top" wrapText="1"/>
    </xf>
    <xf numFmtId="0" fontId="19" fillId="0" borderId="37" xfId="0" applyFont="1" applyBorder="1" applyAlignment="1">
      <alignment horizontal="center" vertical="top" wrapText="1"/>
    </xf>
    <xf numFmtId="0" fontId="19" fillId="0" borderId="36" xfId="0" applyFont="1" applyBorder="1" applyAlignment="1">
      <alignment horizontal="center" vertical="center" wrapText="1"/>
    </xf>
    <xf numFmtId="167" fontId="23" fillId="0" borderId="4" xfId="11" applyNumberFormat="1" applyFont="1" applyBorder="1" applyAlignment="1">
      <alignment horizontal="center" vertical="top"/>
    </xf>
    <xf numFmtId="0" fontId="1" fillId="0" borderId="8" xfId="0" applyFont="1" applyBorder="1" applyAlignment="1">
      <alignment horizontal="center"/>
    </xf>
    <xf numFmtId="0" fontId="19" fillId="0" borderId="1" xfId="0" applyFont="1" applyBorder="1" applyAlignment="1">
      <alignment vertical="top"/>
    </xf>
    <xf numFmtId="0" fontId="19" fillId="0" borderId="5" xfId="20" applyFont="1" applyBorder="1" applyAlignment="1">
      <alignment horizontal="center" vertical="center" wrapText="1"/>
    </xf>
    <xf numFmtId="0" fontId="19" fillId="0" borderId="4" xfId="11" applyFont="1" applyBorder="1" applyAlignment="1">
      <alignment horizontal="center" vertical="center"/>
    </xf>
    <xf numFmtId="0" fontId="19" fillId="0" borderId="6" xfId="11" applyFont="1" applyBorder="1" applyAlignment="1">
      <alignment horizontal="center" vertical="center" wrapText="1"/>
    </xf>
    <xf numFmtId="0" fontId="19" fillId="0" borderId="6" xfId="11" applyFont="1" applyBorder="1" applyAlignment="1">
      <alignment horizontal="center" vertical="center"/>
    </xf>
    <xf numFmtId="0" fontId="19" fillId="0" borderId="4" xfId="11" applyFont="1" applyBorder="1" applyAlignment="1">
      <alignment horizontal="center" vertical="center" wrapText="1"/>
    </xf>
    <xf numFmtId="0" fontId="23" fillId="0" borderId="4" xfId="0" quotePrefix="1" applyFont="1" applyBorder="1"/>
    <xf numFmtId="0" fontId="19" fillId="0" borderId="4" xfId="11" applyFont="1" applyBorder="1" applyAlignment="1">
      <alignment horizontal="left" vertical="top" wrapText="1"/>
    </xf>
    <xf numFmtId="0" fontId="42" fillId="5" borderId="23" xfId="0" applyFont="1" applyFill="1" applyBorder="1"/>
    <xf numFmtId="0" fontId="42" fillId="5" borderId="12" xfId="0" applyFont="1" applyFill="1" applyBorder="1"/>
    <xf numFmtId="0" fontId="42" fillId="5" borderId="3" xfId="0" applyFont="1" applyFill="1" applyBorder="1"/>
    <xf numFmtId="0" fontId="42" fillId="5" borderId="1" xfId="0" applyFont="1" applyFill="1" applyBorder="1"/>
    <xf numFmtId="0" fontId="19" fillId="0" borderId="23" xfId="0" applyFont="1" applyBorder="1"/>
    <xf numFmtId="0" fontId="19" fillId="0" borderId="24" xfId="0" applyFont="1" applyBorder="1"/>
    <xf numFmtId="0" fontId="30" fillId="0" borderId="24" xfId="0" applyFont="1" applyBorder="1" applyAlignment="1">
      <alignment horizontal="left" vertical="top" wrapText="1"/>
    </xf>
    <xf numFmtId="0" fontId="36" fillId="0" borderId="0" xfId="0" applyFont="1"/>
    <xf numFmtId="167" fontId="23" fillId="0" borderId="4" xfId="0" applyNumberFormat="1" applyFont="1" applyBorder="1" applyAlignment="1">
      <alignment horizontal="left" vertical="top" wrapText="1"/>
    </xf>
    <xf numFmtId="167" fontId="23" fillId="0" borderId="37" xfId="0" applyNumberFormat="1" applyFont="1" applyBorder="1" applyAlignment="1">
      <alignment horizontal="left" vertical="top" wrapText="1"/>
    </xf>
    <xf numFmtId="167" fontId="23" fillId="0" borderId="36" xfId="0" applyNumberFormat="1" applyFont="1" applyBorder="1" applyAlignment="1">
      <alignment horizontal="left" vertical="top" wrapText="1"/>
    </xf>
    <xf numFmtId="167" fontId="23" fillId="0" borderId="5" xfId="0" applyNumberFormat="1" applyFont="1" applyBorder="1" applyAlignment="1">
      <alignment horizontal="left" vertical="top" wrapText="1"/>
    </xf>
    <xf numFmtId="0" fontId="23" fillId="0" borderId="4" xfId="0" applyFont="1" applyBorder="1" applyAlignment="1">
      <alignment horizontal="left" vertical="center" wrapText="1"/>
    </xf>
    <xf numFmtId="0" fontId="23" fillId="0" borderId="4" xfId="0" applyFont="1" applyBorder="1" applyAlignment="1">
      <alignment horizontal="center" vertical="center" wrapText="1"/>
    </xf>
    <xf numFmtId="0" fontId="23" fillId="0" borderId="6" xfId="0" applyFont="1" applyBorder="1" applyAlignment="1">
      <alignment horizontal="center" vertical="center" wrapText="1"/>
    </xf>
    <xf numFmtId="0" fontId="19" fillId="0" borderId="4" xfId="0" applyFont="1" applyBorder="1" applyAlignment="1">
      <alignment wrapText="1"/>
    </xf>
    <xf numFmtId="167" fontId="23" fillId="2" borderId="10" xfId="17" applyNumberFormat="1" applyFont="1" applyFill="1" applyBorder="1" applyAlignment="1">
      <alignment horizontal="left" vertical="top"/>
    </xf>
    <xf numFmtId="0" fontId="23" fillId="0" borderId="158" xfId="19" applyFont="1" applyBorder="1" applyAlignment="1">
      <alignment horizontal="left" vertical="top"/>
    </xf>
    <xf numFmtId="0" fontId="1" fillId="0" borderId="115" xfId="19" applyBorder="1" applyAlignment="1">
      <alignment horizontal="left"/>
    </xf>
    <xf numFmtId="0" fontId="19" fillId="0" borderId="4" xfId="19" applyFont="1" applyBorder="1" applyAlignment="1">
      <alignment vertical="top" wrapText="1"/>
    </xf>
    <xf numFmtId="0" fontId="23" fillId="0" borderId="2" xfId="17" applyFont="1" applyBorder="1" applyAlignment="1">
      <alignment horizontal="center" vertical="center" textRotation="90" wrapText="1"/>
    </xf>
    <xf numFmtId="0" fontId="19" fillId="0" borderId="1" xfId="17" applyFont="1" applyBorder="1" applyAlignment="1">
      <alignment vertical="center" wrapText="1"/>
    </xf>
    <xf numFmtId="0" fontId="19" fillId="7" borderId="12" xfId="17" applyFont="1" applyFill="1" applyBorder="1" applyAlignment="1">
      <alignment vertical="top"/>
    </xf>
    <xf numFmtId="0" fontId="19" fillId="7" borderId="3" xfId="17" applyFont="1" applyFill="1" applyBorder="1" applyAlignment="1">
      <alignment vertical="top"/>
    </xf>
    <xf numFmtId="0" fontId="19" fillId="0" borderId="6" xfId="17" applyFont="1" applyBorder="1" applyAlignment="1">
      <alignment horizontal="center" vertical="top"/>
    </xf>
    <xf numFmtId="167" fontId="23" fillId="2" borderId="9" xfId="17" applyNumberFormat="1" applyFont="1" applyFill="1" applyBorder="1" applyAlignment="1">
      <alignment horizontal="center" vertical="center" wrapText="1"/>
    </xf>
    <xf numFmtId="0" fontId="19" fillId="0" borderId="37" xfId="17" applyFont="1" applyBorder="1" applyAlignment="1">
      <alignment vertical="center" wrapText="1"/>
    </xf>
    <xf numFmtId="0" fontId="0" fillId="0" borderId="3" xfId="0" applyBorder="1"/>
    <xf numFmtId="0" fontId="19" fillId="5" borderId="23" xfId="17" applyFont="1" applyFill="1" applyBorder="1" applyAlignment="1">
      <alignment horizontal="left" vertical="top" wrapText="1"/>
    </xf>
    <xf numFmtId="0" fontId="19" fillId="0" borderId="0" xfId="0" applyFont="1" applyAlignment="1">
      <alignment horizontal="center" vertical="top" wrapText="1"/>
    </xf>
    <xf numFmtId="0" fontId="19" fillId="0" borderId="8" xfId="0" applyFont="1" applyBorder="1" applyAlignment="1">
      <alignment vertical="top" wrapText="1"/>
    </xf>
    <xf numFmtId="0" fontId="19" fillId="0" borderId="9" xfId="0" applyFont="1" applyBorder="1" applyAlignment="1">
      <alignment vertical="top" wrapText="1"/>
    </xf>
    <xf numFmtId="0" fontId="19" fillId="0" borderId="10" xfId="0" applyFont="1" applyBorder="1" applyAlignment="1">
      <alignment horizontal="left" vertical="top" wrapText="1"/>
    </xf>
    <xf numFmtId="0" fontId="19" fillId="0" borderId="8" xfId="0" applyFont="1" applyBorder="1" applyAlignment="1">
      <alignment horizontal="left" vertical="top" wrapText="1"/>
    </xf>
    <xf numFmtId="0" fontId="19" fillId="0" borderId="9" xfId="0" applyFont="1" applyBorder="1" applyAlignment="1">
      <alignment horizontal="left" vertical="top" wrapText="1"/>
    </xf>
    <xf numFmtId="0" fontId="19" fillId="0" borderId="2" xfId="0" applyFont="1" applyBorder="1" applyAlignment="1">
      <alignment horizontal="center" vertical="top" wrapText="1"/>
    </xf>
    <xf numFmtId="0" fontId="19" fillId="0" borderId="23" xfId="0" applyFont="1" applyBorder="1" applyAlignment="1">
      <alignment horizontal="center" vertical="top" wrapText="1"/>
    </xf>
    <xf numFmtId="0" fontId="19" fillId="0" borderId="12" xfId="0" applyFont="1" applyBorder="1" applyAlignment="1">
      <alignment horizontal="center" vertical="top" wrapText="1"/>
    </xf>
    <xf numFmtId="0" fontId="19" fillId="0" borderId="2" xfId="0" applyFont="1" applyBorder="1" applyAlignment="1">
      <alignment horizontal="center" vertical="center" wrapText="1"/>
    </xf>
    <xf numFmtId="0" fontId="19" fillId="0" borderId="6" xfId="0" applyFont="1" applyBorder="1" applyAlignment="1">
      <alignment horizontal="center" vertical="top" wrapText="1"/>
    </xf>
    <xf numFmtId="167" fontId="19" fillId="0" borderId="10" xfId="17" applyNumberFormat="1" applyFont="1" applyBorder="1" applyAlignment="1">
      <alignment horizontal="left" wrapText="1"/>
    </xf>
    <xf numFmtId="167" fontId="23" fillId="0" borderId="4" xfId="0" applyNumberFormat="1" applyFont="1" applyBorder="1" applyAlignment="1">
      <alignment horizontal="center" vertical="top" wrapText="1"/>
    </xf>
    <xf numFmtId="167" fontId="23" fillId="0" borderId="8" xfId="0" applyNumberFormat="1" applyFont="1" applyBorder="1" applyAlignment="1">
      <alignment horizontal="center" vertical="top" wrapText="1"/>
    </xf>
    <xf numFmtId="167" fontId="23" fillId="0" borderId="9" xfId="0" applyNumberFormat="1" applyFont="1" applyBorder="1" applyAlignment="1">
      <alignment horizontal="center" vertical="top" wrapText="1"/>
    </xf>
    <xf numFmtId="167" fontId="23" fillId="0" borderId="22" xfId="0" applyNumberFormat="1" applyFont="1" applyBorder="1" applyAlignment="1">
      <alignment horizontal="center" vertical="top" wrapText="1"/>
    </xf>
    <xf numFmtId="0" fontId="19" fillId="0" borderId="10" xfId="0" applyFont="1" applyBorder="1" applyAlignment="1">
      <alignment vertical="top" wrapText="1"/>
    </xf>
    <xf numFmtId="0" fontId="19" fillId="0" borderId="8" xfId="12" applyFont="1" applyBorder="1" applyAlignment="1">
      <alignment horizontal="left" vertical="top" wrapText="1"/>
    </xf>
    <xf numFmtId="0" fontId="19" fillId="0" borderId="3" xfId="12" applyFont="1" applyBorder="1" applyAlignment="1">
      <alignment horizontal="left" vertical="top" wrapText="1"/>
    </xf>
    <xf numFmtId="0" fontId="19" fillId="0" borderId="6" xfId="0" applyFont="1" applyBorder="1" applyAlignment="1">
      <alignment horizontal="center" vertical="center" wrapText="1"/>
    </xf>
    <xf numFmtId="0" fontId="19" fillId="0" borderId="23" xfId="0" applyFont="1" applyBorder="1" applyAlignment="1">
      <alignment horizontal="center" vertical="center" wrapText="1"/>
    </xf>
    <xf numFmtId="0" fontId="19" fillId="0" borderId="12" xfId="0" applyFont="1" applyBorder="1" applyAlignment="1">
      <alignment vertical="top" wrapText="1"/>
    </xf>
    <xf numFmtId="0" fontId="19" fillId="0" borderId="12" xfId="0" applyFont="1" applyBorder="1" applyAlignment="1">
      <alignment horizontal="center"/>
    </xf>
    <xf numFmtId="0" fontId="19" fillId="0" borderId="23" xfId="0" applyFont="1" applyBorder="1" applyAlignment="1">
      <alignment horizontal="center"/>
    </xf>
    <xf numFmtId="0" fontId="19" fillId="0" borderId="8" xfId="0" applyFont="1" applyBorder="1" applyAlignment="1">
      <alignment horizontal="center" vertical="center" wrapText="1"/>
    </xf>
    <xf numFmtId="0" fontId="20" fillId="0" borderId="6" xfId="0" applyFont="1" applyBorder="1" applyAlignment="1">
      <alignment horizontal="center" vertical="center"/>
    </xf>
    <xf numFmtId="0" fontId="19" fillId="0" borderId="4" xfId="0" applyFont="1" applyBorder="1" applyAlignment="1">
      <alignment horizontal="left" vertical="center"/>
    </xf>
    <xf numFmtId="1" fontId="19" fillId="0" borderId="4" xfId="0" applyNumberFormat="1" applyFont="1" applyBorder="1" applyAlignment="1">
      <alignment horizontal="center" wrapText="1"/>
    </xf>
    <xf numFmtId="0" fontId="19" fillId="5" borderId="2" xfId="10" applyFont="1" applyFill="1" applyBorder="1" applyAlignment="1">
      <alignment horizontal="left" vertical="top" wrapText="1"/>
    </xf>
    <xf numFmtId="0" fontId="13" fillId="5" borderId="0" xfId="0" applyFont="1" applyFill="1"/>
    <xf numFmtId="0" fontId="14" fillId="0" borderId="0" xfId="0" applyFont="1"/>
    <xf numFmtId="167" fontId="13" fillId="0" borderId="41" xfId="17" applyNumberFormat="1" applyFont="1" applyBorder="1" applyAlignment="1">
      <alignment horizontal="center" vertical="top" wrapText="1"/>
    </xf>
    <xf numFmtId="167" fontId="13" fillId="0" borderId="37" xfId="17" applyNumberFormat="1" applyFont="1" applyBorder="1" applyAlignment="1">
      <alignment horizontal="left" vertical="top"/>
    </xf>
    <xf numFmtId="167" fontId="13" fillId="0" borderId="4" xfId="17" applyNumberFormat="1" applyFont="1" applyBorder="1" applyAlignment="1">
      <alignment horizontal="left" vertical="top"/>
    </xf>
    <xf numFmtId="167" fontId="13" fillId="0" borderId="5" xfId="17" applyNumberFormat="1" applyFont="1" applyBorder="1" applyAlignment="1">
      <alignment vertical="top"/>
    </xf>
    <xf numFmtId="167" fontId="13" fillId="0" borderId="5" xfId="17" applyNumberFormat="1" applyFont="1" applyBorder="1" applyAlignment="1">
      <alignment horizontal="left" vertical="top"/>
    </xf>
    <xf numFmtId="0" fontId="35" fillId="0" borderId="0" xfId="11" applyFont="1"/>
    <xf numFmtId="0" fontId="58" fillId="0" borderId="0" xfId="11" applyFont="1"/>
    <xf numFmtId="167" fontId="36" fillId="0" borderId="0" xfId="17" applyNumberFormat="1" applyFont="1" applyAlignment="1">
      <alignment horizontal="left"/>
    </xf>
    <xf numFmtId="0" fontId="35" fillId="0" borderId="0" xfId="17" applyFont="1"/>
    <xf numFmtId="0" fontId="58" fillId="0" borderId="0" xfId="10" applyFont="1"/>
    <xf numFmtId="0" fontId="35" fillId="0" borderId="8" xfId="11" applyFont="1" applyBorder="1" applyAlignment="1">
      <alignment horizontal="left" vertical="top" wrapText="1"/>
    </xf>
    <xf numFmtId="0" fontId="35" fillId="0" borderId="3" xfId="11" applyFont="1" applyBorder="1" applyAlignment="1">
      <alignment horizontal="left" vertical="top" wrapText="1"/>
    </xf>
    <xf numFmtId="0" fontId="35" fillId="0" borderId="0" xfId="11" applyFont="1" applyAlignment="1">
      <alignment vertical="top"/>
    </xf>
    <xf numFmtId="0" fontId="36" fillId="0" borderId="0" xfId="11" applyFont="1" applyAlignment="1">
      <alignment horizontal="right" vertical="center"/>
    </xf>
    <xf numFmtId="0" fontId="35" fillId="0" borderId="0" xfId="11" applyFont="1" applyAlignment="1">
      <alignment vertical="center"/>
    </xf>
    <xf numFmtId="0" fontId="35" fillId="0" borderId="0" xfId="11" applyFont="1" applyAlignment="1">
      <alignment horizontal="left"/>
    </xf>
    <xf numFmtId="0" fontId="36" fillId="0" borderId="0" xfId="11" applyFont="1" applyAlignment="1">
      <alignment horizontal="left"/>
    </xf>
    <xf numFmtId="0" fontId="35" fillId="0" borderId="3" xfId="11" applyFont="1" applyBorder="1"/>
    <xf numFmtId="0" fontId="58" fillId="0" borderId="2" xfId="11" applyFont="1" applyBorder="1"/>
    <xf numFmtId="0" fontId="58" fillId="0" borderId="24" xfId="11" applyFont="1" applyBorder="1"/>
    <xf numFmtId="0" fontId="36" fillId="0" borderId="24" xfId="11" applyFont="1" applyBorder="1" applyAlignment="1">
      <alignment horizontal="right" vertical="center"/>
    </xf>
    <xf numFmtId="0" fontId="35" fillId="0" borderId="24" xfId="11" applyFont="1" applyBorder="1" applyAlignment="1">
      <alignment vertical="center"/>
    </xf>
    <xf numFmtId="0" fontId="35" fillId="0" borderId="24" xfId="11" applyFont="1" applyBorder="1"/>
    <xf numFmtId="0" fontId="58" fillId="0" borderId="12" xfId="11" applyFont="1" applyBorder="1"/>
    <xf numFmtId="49" fontId="35" fillId="0" borderId="0" xfId="11" applyNumberFormat="1" applyFont="1" applyAlignment="1">
      <alignment horizontal="center" vertical="center"/>
    </xf>
    <xf numFmtId="0" fontId="35" fillId="0" borderId="2" xfId="11" applyFont="1" applyBorder="1"/>
    <xf numFmtId="0" fontId="36" fillId="0" borderId="0" xfId="11" applyFont="1" applyAlignment="1">
      <alignment horizontal="left" vertical="center"/>
    </xf>
    <xf numFmtId="0" fontId="58" fillId="0" borderId="24" xfId="11" applyFont="1" applyBorder="1" applyAlignment="1">
      <alignment horizontal="right"/>
    </xf>
    <xf numFmtId="0" fontId="35" fillId="0" borderId="12" xfId="11" applyFont="1" applyBorder="1"/>
    <xf numFmtId="0" fontId="36" fillId="0" borderId="24" xfId="11" applyFont="1" applyBorder="1" applyAlignment="1">
      <alignment horizontal="left" vertical="center"/>
    </xf>
    <xf numFmtId="0" fontId="35" fillId="0" borderId="0" xfId="11" applyFont="1" applyAlignment="1">
      <alignment horizontal="left" vertical="center" wrapText="1"/>
    </xf>
    <xf numFmtId="0" fontId="36" fillId="0" borderId="0" xfId="11" applyFont="1" applyAlignment="1">
      <alignment horizontal="right"/>
    </xf>
    <xf numFmtId="0" fontId="35" fillId="0" borderId="0" xfId="11" applyFont="1" applyAlignment="1">
      <alignment horizontal="left" vertical="center"/>
    </xf>
    <xf numFmtId="0" fontId="36" fillId="0" borderId="0" xfId="11" applyFont="1" applyAlignment="1">
      <alignment horizontal="right" vertical="top"/>
    </xf>
    <xf numFmtId="0" fontId="35" fillId="0" borderId="0" xfId="11" applyFont="1" applyAlignment="1">
      <alignment horizontal="left" vertical="top"/>
    </xf>
    <xf numFmtId="0" fontId="35" fillId="0" borderId="1" xfId="11" applyFont="1" applyBorder="1" applyAlignment="1">
      <alignment horizontal="left" vertical="top" wrapText="1"/>
    </xf>
    <xf numFmtId="0" fontId="35" fillId="0" borderId="1" xfId="11" applyFont="1" applyBorder="1"/>
    <xf numFmtId="49" fontId="35" fillId="0" borderId="1" xfId="11" applyNumberFormat="1" applyFont="1" applyBorder="1" applyAlignment="1">
      <alignment horizontal="center" vertical="center"/>
    </xf>
    <xf numFmtId="49" fontId="36" fillId="0" borderId="22" xfId="11" applyNumberFormat="1" applyFont="1" applyBorder="1" applyAlignment="1">
      <alignment horizontal="center" vertical="center"/>
    </xf>
    <xf numFmtId="49" fontId="23" fillId="0" borderId="9" xfId="11" applyNumberFormat="1" applyFont="1" applyBorder="1" applyAlignment="1">
      <alignment horizontal="center" vertical="center"/>
    </xf>
    <xf numFmtId="49" fontId="7" fillId="0" borderId="9" xfId="11" applyNumberFormat="1" applyFont="1" applyBorder="1" applyAlignment="1">
      <alignment horizontal="center" vertical="center"/>
    </xf>
    <xf numFmtId="49" fontId="36" fillId="0" borderId="9" xfId="11" applyNumberFormat="1" applyFont="1" applyBorder="1" applyAlignment="1">
      <alignment horizontal="center" vertical="center"/>
    </xf>
    <xf numFmtId="49" fontId="7" fillId="0" borderId="22" xfId="11" applyNumberFormat="1" applyFont="1" applyBorder="1" applyAlignment="1">
      <alignment horizontal="center" vertical="center"/>
    </xf>
    <xf numFmtId="49" fontId="36" fillId="0" borderId="0" xfId="11" applyNumberFormat="1" applyFont="1" applyAlignment="1">
      <alignment horizontal="center" vertical="center"/>
    </xf>
    <xf numFmtId="0" fontId="36" fillId="0" borderId="0" xfId="11" applyFont="1" applyAlignment="1">
      <alignment vertical="top"/>
    </xf>
    <xf numFmtId="49" fontId="23" fillId="0" borderId="1" xfId="11" applyNumberFormat="1" applyFont="1" applyBorder="1" applyAlignment="1">
      <alignment horizontal="center" vertical="center"/>
    </xf>
    <xf numFmtId="0" fontId="36" fillId="0" borderId="0" xfId="11" applyFont="1"/>
    <xf numFmtId="0" fontId="58" fillId="0" borderId="0" xfId="0" applyFont="1"/>
    <xf numFmtId="0" fontId="59" fillId="0" borderId="0" xfId="0" applyFont="1"/>
    <xf numFmtId="0" fontId="35" fillId="0" borderId="0" xfId="0" applyFont="1"/>
    <xf numFmtId="0" fontId="58" fillId="0" borderId="0" xfId="0" applyFont="1" applyAlignment="1">
      <alignment horizontal="left"/>
    </xf>
    <xf numFmtId="0" fontId="58" fillId="5" borderId="0" xfId="0" applyFont="1" applyFill="1"/>
    <xf numFmtId="0" fontId="36" fillId="0" borderId="0" xfId="0" applyFont="1" applyAlignment="1">
      <alignment horizontal="left"/>
    </xf>
    <xf numFmtId="0" fontId="36" fillId="0" borderId="8" xfId="17" applyFont="1" applyBorder="1" applyAlignment="1">
      <alignment horizontal="center" vertical="center"/>
    </xf>
    <xf numFmtId="167" fontId="36" fillId="0" borderId="5" xfId="17" applyNumberFormat="1" applyFont="1" applyBorder="1" applyAlignment="1">
      <alignment horizontal="center" vertical="top"/>
    </xf>
    <xf numFmtId="167" fontId="36" fillId="0" borderId="4" xfId="17" applyNumberFormat="1" applyFont="1" applyBorder="1" applyAlignment="1">
      <alignment horizontal="center" vertical="top"/>
    </xf>
    <xf numFmtId="167" fontId="36" fillId="0" borderId="4" xfId="17" applyNumberFormat="1" applyFont="1" applyBorder="1" applyAlignment="1">
      <alignment horizontal="center"/>
    </xf>
    <xf numFmtId="167" fontId="36" fillId="0" borderId="5" xfId="17" applyNumberFormat="1" applyFont="1" applyBorder="1" applyAlignment="1">
      <alignment horizontal="center" vertical="top" wrapText="1"/>
    </xf>
    <xf numFmtId="167" fontId="36" fillId="0" borderId="36" xfId="17" applyNumberFormat="1" applyFont="1" applyBorder="1" applyAlignment="1">
      <alignment horizontal="center" vertical="top"/>
    </xf>
    <xf numFmtId="167" fontId="36" fillId="0" borderId="4" xfId="17" applyNumberFormat="1" applyFont="1" applyBorder="1" applyAlignment="1">
      <alignment horizontal="center" vertical="top" wrapText="1"/>
    </xf>
    <xf numFmtId="0" fontId="36" fillId="0" borderId="8" xfId="17" applyFont="1" applyBorder="1" applyAlignment="1">
      <alignment vertical="center" wrapText="1"/>
    </xf>
    <xf numFmtId="0" fontId="35" fillId="0" borderId="8" xfId="0" applyFont="1" applyBorder="1" applyAlignment="1">
      <alignment vertical="center" wrapText="1"/>
    </xf>
    <xf numFmtId="0" fontId="35" fillId="0" borderId="3" xfId="0" applyFont="1" applyBorder="1" applyAlignment="1">
      <alignment horizontal="left" vertical="top" wrapText="1"/>
    </xf>
    <xf numFmtId="0" fontId="35" fillId="0" borderId="9" xfId="0" applyFont="1" applyBorder="1" applyAlignment="1">
      <alignment horizontal="center" vertical="center" wrapText="1"/>
    </xf>
    <xf numFmtId="0" fontId="35" fillId="0" borderId="22"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1" xfId="0" applyFont="1" applyBorder="1" applyAlignment="1">
      <alignment horizontal="center" vertical="center" wrapText="1"/>
    </xf>
    <xf numFmtId="0" fontId="35" fillId="0" borderId="0" xfId="0" applyFont="1" applyAlignment="1">
      <alignment horizontal="center" vertical="center" wrapText="1"/>
    </xf>
    <xf numFmtId="0" fontId="35" fillId="0" borderId="2" xfId="0" applyFont="1" applyBorder="1" applyAlignment="1">
      <alignment horizontal="center" vertical="center" wrapText="1"/>
    </xf>
    <xf numFmtId="0" fontId="35" fillId="0" borderId="3" xfId="0" applyFont="1" applyBorder="1" applyAlignment="1">
      <alignment vertical="center" wrapText="1"/>
    </xf>
    <xf numFmtId="0" fontId="35" fillId="0" borderId="3" xfId="0" applyFont="1" applyBorder="1" applyAlignment="1">
      <alignment vertical="top" wrapText="1"/>
    </xf>
    <xf numFmtId="0" fontId="35" fillId="0" borderId="3" xfId="0" applyFont="1" applyBorder="1" applyAlignment="1">
      <alignment horizontal="left" vertical="top"/>
    </xf>
    <xf numFmtId="0" fontId="35" fillId="0" borderId="3" xfId="0" applyFont="1" applyBorder="1"/>
    <xf numFmtId="0" fontId="58" fillId="0" borderId="3" xfId="0" applyFont="1" applyBorder="1" applyAlignment="1">
      <alignment horizontal="left" vertical="top" wrapText="1"/>
    </xf>
    <xf numFmtId="0" fontId="35" fillId="0" borderId="3" xfId="0" applyFont="1" applyBorder="1" applyAlignment="1">
      <alignment wrapText="1"/>
    </xf>
    <xf numFmtId="0" fontId="35" fillId="0" borderId="23" xfId="0" applyFont="1" applyBorder="1" applyAlignment="1">
      <alignment horizontal="left" vertical="top" wrapText="1"/>
    </xf>
    <xf numFmtId="0" fontId="35" fillId="0" borderId="12" xfId="0" applyFont="1" applyBorder="1" applyAlignment="1">
      <alignment horizontal="left" vertical="top" wrapText="1"/>
    </xf>
    <xf numFmtId="0" fontId="58" fillId="0" borderId="6" xfId="0" applyFont="1" applyBorder="1" applyAlignment="1">
      <alignment horizontal="left" vertical="top" wrapText="1"/>
    </xf>
    <xf numFmtId="0" fontId="35" fillId="0" borderId="6" xfId="0" applyFont="1" applyBorder="1" applyAlignment="1">
      <alignment horizontal="left" vertical="top" wrapText="1"/>
    </xf>
    <xf numFmtId="0" fontId="35" fillId="0" borderId="6" xfId="0" applyFont="1" applyBorder="1" applyAlignment="1">
      <alignment vertical="top" wrapText="1"/>
    </xf>
    <xf numFmtId="0" fontId="35" fillId="0" borderId="4" xfId="0" applyFont="1" applyBorder="1" applyAlignment="1">
      <alignment horizontal="left" vertical="top" wrapText="1"/>
    </xf>
    <xf numFmtId="0" fontId="35" fillId="0" borderId="6" xfId="0" applyFont="1" applyBorder="1" applyAlignment="1">
      <alignment horizontal="left" vertical="top"/>
    </xf>
    <xf numFmtId="0" fontId="35" fillId="0" borderId="6" xfId="0" applyFont="1" applyBorder="1" applyAlignment="1">
      <alignment horizontal="center" vertical="top" wrapText="1"/>
    </xf>
    <xf numFmtId="0" fontId="35" fillId="0" borderId="4" xfId="0" applyFont="1" applyBorder="1" applyAlignment="1">
      <alignment horizontal="center" vertical="top" wrapText="1"/>
    </xf>
    <xf numFmtId="0" fontId="35" fillId="0" borderId="6" xfId="0" applyFont="1" applyBorder="1"/>
    <xf numFmtId="0" fontId="35" fillId="0" borderId="6" xfId="0" applyFont="1" applyBorder="1" applyAlignment="1">
      <alignment horizontal="center"/>
    </xf>
    <xf numFmtId="0" fontId="35" fillId="0" borderId="5" xfId="0" applyFont="1" applyBorder="1" applyAlignment="1">
      <alignment horizontal="center"/>
    </xf>
    <xf numFmtId="0" fontId="35" fillId="0" borderId="4" xfId="0" applyFont="1" applyBorder="1" applyAlignment="1">
      <alignment horizontal="center"/>
    </xf>
    <xf numFmtId="0" fontId="35" fillId="0" borderId="4" xfId="0" applyFont="1" applyBorder="1" applyAlignment="1">
      <alignment horizontal="center" vertical="center" wrapText="1"/>
    </xf>
    <xf numFmtId="0" fontId="35" fillId="0" borderId="37" xfId="0" applyFont="1" applyBorder="1" applyAlignment="1">
      <alignment horizontal="center" vertical="center" wrapText="1"/>
    </xf>
    <xf numFmtId="0" fontId="35" fillId="0" borderId="5" xfId="0" applyFont="1" applyBorder="1" applyAlignment="1">
      <alignment horizontal="center" vertical="center" wrapText="1"/>
    </xf>
    <xf numFmtId="0" fontId="35" fillId="0" borderId="5" xfId="0" applyFont="1" applyBorder="1" applyAlignment="1">
      <alignment horizontal="center" vertical="center"/>
    </xf>
    <xf numFmtId="0" fontId="35" fillId="0" borderId="4" xfId="0" applyFont="1" applyBorder="1" applyAlignment="1">
      <alignment horizontal="center" vertical="center"/>
    </xf>
    <xf numFmtId="0" fontId="35" fillId="0" borderId="4" xfId="0" applyFont="1" applyBorder="1" applyAlignment="1">
      <alignment horizontal="left" vertical="center" wrapText="1"/>
    </xf>
    <xf numFmtId="0" fontId="35" fillId="0" borderId="36" xfId="0" applyFont="1" applyBorder="1" applyAlignment="1">
      <alignment horizontal="center" vertical="center" wrapText="1"/>
    </xf>
    <xf numFmtId="0" fontId="8" fillId="0" borderId="4" xfId="0" applyFont="1" applyBorder="1" applyAlignment="1">
      <alignment vertical="center" wrapText="1"/>
    </xf>
    <xf numFmtId="0" fontId="35" fillId="0" borderId="4" xfId="0" applyFont="1" applyBorder="1" applyAlignment="1">
      <alignment vertical="top" wrapText="1"/>
    </xf>
    <xf numFmtId="0" fontId="35" fillId="0" borderId="4" xfId="0" applyFont="1" applyBorder="1" applyAlignment="1">
      <alignment vertical="center" wrapText="1"/>
    </xf>
    <xf numFmtId="0" fontId="8" fillId="0" borderId="4" xfId="0" applyFont="1" applyBorder="1" applyAlignment="1">
      <alignment wrapText="1"/>
    </xf>
    <xf numFmtId="0" fontId="59" fillId="5" borderId="0" xfId="0" applyFont="1" applyFill="1"/>
    <xf numFmtId="0" fontId="35" fillId="5" borderId="0" xfId="0" applyFont="1" applyFill="1"/>
    <xf numFmtId="0" fontId="8" fillId="0" borderId="37" xfId="0" applyFont="1" applyBorder="1" applyAlignment="1">
      <alignment horizontal="left" vertical="top" wrapText="1"/>
    </xf>
    <xf numFmtId="0" fontId="8" fillId="0" borderId="36" xfId="0" applyFont="1" applyBorder="1" applyAlignment="1">
      <alignment horizontal="left" vertical="top" wrapText="1"/>
    </xf>
    <xf numFmtId="0" fontId="8" fillId="0" borderId="5" xfId="0" applyFont="1" applyBorder="1" applyAlignment="1">
      <alignment horizontal="left" vertical="top" wrapText="1"/>
    </xf>
    <xf numFmtId="0" fontId="8" fillId="0" borderId="6" xfId="0" applyFont="1" applyBorder="1" applyAlignment="1">
      <alignment horizontal="left" vertical="top" wrapText="1"/>
    </xf>
    <xf numFmtId="0" fontId="8" fillId="0" borderId="3" xfId="0" applyFont="1" applyBorder="1" applyAlignment="1">
      <alignment horizontal="left" vertical="top" wrapText="1"/>
    </xf>
    <xf numFmtId="0" fontId="8" fillId="0" borderId="0" xfId="0" applyFont="1" applyAlignment="1">
      <alignment horizontal="left" vertical="top" wrapText="1"/>
    </xf>
    <xf numFmtId="167" fontId="7" fillId="0" borderId="4" xfId="17" applyNumberFormat="1" applyFont="1" applyBorder="1" applyAlignment="1">
      <alignment horizontal="left" vertical="top"/>
    </xf>
    <xf numFmtId="167" fontId="7" fillId="0" borderId="37" xfId="17" applyNumberFormat="1" applyFont="1" applyBorder="1" applyAlignment="1">
      <alignment horizontal="left" vertical="top"/>
    </xf>
    <xf numFmtId="0" fontId="8" fillId="0" borderId="3" xfId="0" applyFont="1" applyBorder="1" applyAlignment="1">
      <alignment horizontal="left" vertical="center" wrapText="1"/>
    </xf>
    <xf numFmtId="0" fontId="8" fillId="0" borderId="0" xfId="0" applyFont="1" applyAlignment="1">
      <alignment horizontal="left" vertical="center" wrapText="1"/>
    </xf>
    <xf numFmtId="0" fontId="8" fillId="0" borderId="24" xfId="0" applyFont="1" applyBorder="1" applyAlignment="1">
      <alignment horizontal="left" vertical="top" wrapText="1"/>
    </xf>
    <xf numFmtId="0" fontId="7" fillId="0" borderId="46" xfId="0" applyFont="1" applyBorder="1" applyAlignment="1">
      <alignment horizontal="left" vertical="top" wrapText="1"/>
    </xf>
    <xf numFmtId="0" fontId="7" fillId="0" borderId="18" xfId="0" applyFont="1" applyBorder="1" applyAlignment="1">
      <alignment horizontal="left" vertical="top" wrapText="1"/>
    </xf>
    <xf numFmtId="0" fontId="0" fillId="0" borderId="31" xfId="0" applyBorder="1" applyAlignment="1">
      <alignment horizontal="center"/>
    </xf>
    <xf numFmtId="0" fontId="13" fillId="0" borderId="0" xfId="0" applyFont="1"/>
    <xf numFmtId="0" fontId="19" fillId="0" borderId="58" xfId="17" applyFont="1" applyBorder="1" applyAlignment="1">
      <alignment vertical="top"/>
    </xf>
    <xf numFmtId="0" fontId="19" fillId="0" borderId="59" xfId="17" applyFont="1" applyBorder="1" applyAlignment="1">
      <alignment horizontal="right" vertical="center"/>
    </xf>
    <xf numFmtId="0" fontId="19" fillId="0" borderId="31" xfId="17" applyFont="1" applyBorder="1" applyAlignment="1">
      <alignment horizontal="center" vertical="center"/>
    </xf>
    <xf numFmtId="0" fontId="19" fillId="0" borderId="26" xfId="17" applyFont="1" applyBorder="1" applyAlignment="1">
      <alignment vertical="center"/>
    </xf>
    <xf numFmtId="0" fontId="19" fillId="0" borderId="28" xfId="17" applyFont="1" applyBorder="1" applyAlignment="1">
      <alignment vertical="center"/>
    </xf>
    <xf numFmtId="0" fontId="19" fillId="0" borderId="27" xfId="17" applyFont="1" applyBorder="1" applyAlignment="1">
      <alignment vertical="center"/>
    </xf>
    <xf numFmtId="0" fontId="19" fillId="0" borderId="31" xfId="0" applyFont="1" applyBorder="1"/>
    <xf numFmtId="0" fontId="19" fillId="0" borderId="61" xfId="0" applyFont="1" applyBorder="1"/>
    <xf numFmtId="0" fontId="19" fillId="0" borderId="27" xfId="0" applyFont="1" applyBorder="1"/>
    <xf numFmtId="0" fontId="19" fillId="0" borderId="25" xfId="17" applyFont="1" applyBorder="1" applyAlignment="1">
      <alignment vertical="top"/>
    </xf>
    <xf numFmtId="0" fontId="19" fillId="0" borderId="27" xfId="17" applyFont="1" applyBorder="1" applyAlignment="1">
      <alignment horizontal="center" vertical="center"/>
    </xf>
    <xf numFmtId="0" fontId="19" fillId="0" borderId="17" xfId="0" applyFont="1" applyBorder="1"/>
    <xf numFmtId="0" fontId="19" fillId="0" borderId="60" xfId="17" applyFont="1" applyBorder="1" applyAlignment="1">
      <alignment vertical="top"/>
    </xf>
    <xf numFmtId="0" fontId="19" fillId="0" borderId="1" xfId="17" applyFont="1" applyBorder="1" applyAlignment="1">
      <alignment vertical="center"/>
    </xf>
    <xf numFmtId="0" fontId="19" fillId="0" borderId="3" xfId="17" applyFont="1" applyBorder="1" applyAlignment="1">
      <alignment horizontal="right" vertical="center"/>
    </xf>
    <xf numFmtId="0" fontId="0" fillId="0" borderId="33" xfId="0" applyBorder="1"/>
    <xf numFmtId="0" fontId="19" fillId="0" borderId="57" xfId="17" applyFont="1" applyBorder="1" applyAlignment="1">
      <alignment horizontal="right" vertical="center"/>
    </xf>
    <xf numFmtId="0" fontId="0" fillId="0" borderId="56" xfId="0" applyBorder="1"/>
    <xf numFmtId="0" fontId="0" fillId="0" borderId="31" xfId="0" applyBorder="1"/>
    <xf numFmtId="0" fontId="0" fillId="0" borderId="26" xfId="0" applyBorder="1"/>
    <xf numFmtId="0" fontId="0" fillId="0" borderId="17" xfId="0" applyBorder="1"/>
    <xf numFmtId="0" fontId="0" fillId="0" borderId="61" xfId="0" applyBorder="1"/>
    <xf numFmtId="0" fontId="0" fillId="0" borderId="99" xfId="0" applyBorder="1" applyAlignment="1">
      <alignment horizontal="center"/>
    </xf>
    <xf numFmtId="0" fontId="0" fillId="0" borderId="100" xfId="0" applyBorder="1" applyAlignment="1">
      <alignment horizontal="center"/>
    </xf>
    <xf numFmtId="0" fontId="19" fillId="0" borderId="34" xfId="17" applyFont="1" applyBorder="1" applyAlignment="1">
      <alignment vertical="top"/>
    </xf>
    <xf numFmtId="0" fontId="19" fillId="0" borderId="56" xfId="0" applyFont="1" applyBorder="1"/>
    <xf numFmtId="0" fontId="19" fillId="0" borderId="57" xfId="0" applyFont="1" applyBorder="1"/>
    <xf numFmtId="0" fontId="19" fillId="0" borderId="29" xfId="17" applyFont="1" applyBorder="1" applyAlignment="1">
      <alignment vertical="top"/>
    </xf>
    <xf numFmtId="0" fontId="13" fillId="0" borderId="19" xfId="17" applyFont="1" applyBorder="1" applyAlignment="1">
      <alignment vertical="top"/>
    </xf>
    <xf numFmtId="0" fontId="13" fillId="0" borderId="19" xfId="0" applyFont="1" applyBorder="1"/>
    <xf numFmtId="0" fontId="11" fillId="0" borderId="19" xfId="17" applyFont="1" applyBorder="1" applyAlignment="1">
      <alignment vertical="center"/>
    </xf>
    <xf numFmtId="0" fontId="11" fillId="0" borderId="19" xfId="17" applyFont="1" applyBorder="1" applyAlignment="1">
      <alignment horizontal="center" vertical="center"/>
    </xf>
    <xf numFmtId="0" fontId="11" fillId="0" borderId="19" xfId="0" applyFont="1" applyBorder="1"/>
    <xf numFmtId="0" fontId="14" fillId="0" borderId="19" xfId="0" applyFont="1" applyBorder="1"/>
    <xf numFmtId="0" fontId="19" fillId="0" borderId="25" xfId="0" applyFont="1" applyBorder="1" applyAlignment="1">
      <alignment vertical="top"/>
    </xf>
    <xf numFmtId="0" fontId="19" fillId="0" borderId="27" xfId="17" applyFont="1" applyBorder="1" applyAlignment="1">
      <alignment horizontal="left" vertical="center"/>
    </xf>
    <xf numFmtId="0" fontId="0" fillId="0" borderId="27" xfId="0" applyBorder="1"/>
    <xf numFmtId="0" fontId="19" fillId="0" borderId="30" xfId="0" applyFont="1" applyBorder="1"/>
    <xf numFmtId="0" fontId="0" fillId="0" borderId="30" xfId="0" applyBorder="1"/>
    <xf numFmtId="0" fontId="13" fillId="0" borderId="2" xfId="0" applyFont="1" applyBorder="1" applyAlignment="1">
      <alignment vertical="top"/>
    </xf>
    <xf numFmtId="0" fontId="13" fillId="0" borderId="0" xfId="17" applyFont="1" applyAlignment="1">
      <alignment vertical="center"/>
    </xf>
    <xf numFmtId="0" fontId="11" fillId="0" borderId="0" xfId="17" applyFont="1" applyAlignment="1">
      <alignment horizontal="center" vertical="center"/>
    </xf>
    <xf numFmtId="0" fontId="11" fillId="0" borderId="32" xfId="17" applyFont="1" applyBorder="1" applyAlignment="1">
      <alignment vertical="center"/>
    </xf>
    <xf numFmtId="0" fontId="14" fillId="0" borderId="33" xfId="0" applyFont="1" applyBorder="1"/>
    <xf numFmtId="0" fontId="19" fillId="0" borderId="29" xfId="17" applyFont="1" applyBorder="1" applyAlignment="1">
      <alignment vertical="center"/>
    </xf>
    <xf numFmtId="0" fontId="19" fillId="0" borderId="17" xfId="17" applyFont="1" applyBorder="1" applyAlignment="1">
      <alignment horizontal="center"/>
    </xf>
    <xf numFmtId="0" fontId="19" fillId="0" borderId="29" xfId="17" applyFont="1" applyBorder="1" applyAlignment="1">
      <alignment horizontal="center"/>
    </xf>
    <xf numFmtId="0" fontId="11" fillId="0" borderId="63" xfId="17" applyFont="1" applyBorder="1" applyAlignment="1">
      <alignment vertical="center"/>
    </xf>
    <xf numFmtId="0" fontId="19" fillId="0" borderId="34" xfId="17" applyFont="1" applyBorder="1" applyAlignment="1">
      <alignment vertical="center"/>
    </xf>
    <xf numFmtId="0" fontId="11" fillId="0" borderId="80" xfId="17" applyFont="1" applyBorder="1" applyAlignment="1">
      <alignment vertical="center"/>
    </xf>
    <xf numFmtId="0" fontId="11" fillId="0" borderId="22" xfId="17" applyFont="1" applyBorder="1" applyAlignment="1">
      <alignment horizontal="center" vertical="center"/>
    </xf>
    <xf numFmtId="0" fontId="11" fillId="0" borderId="81" xfId="17" applyFont="1" applyBorder="1" applyAlignment="1">
      <alignment horizontal="center" vertical="center"/>
    </xf>
    <xf numFmtId="0" fontId="11" fillId="0" borderId="64" xfId="17" applyFont="1" applyBorder="1" applyAlignment="1">
      <alignment vertical="center"/>
    </xf>
    <xf numFmtId="0" fontId="11" fillId="0" borderId="62" xfId="17" applyFont="1" applyBorder="1" applyAlignment="1">
      <alignment vertical="center"/>
    </xf>
    <xf numFmtId="0" fontId="11" fillId="0" borderId="65" xfId="17" applyFont="1" applyBorder="1" applyAlignment="1">
      <alignment vertical="center"/>
    </xf>
    <xf numFmtId="0" fontId="19" fillId="0" borderId="29" xfId="0" applyFont="1" applyBorder="1"/>
    <xf numFmtId="0" fontId="11" fillId="0" borderId="32" xfId="0" applyFont="1" applyBorder="1"/>
    <xf numFmtId="0" fontId="11" fillId="0" borderId="1" xfId="0" applyFont="1" applyBorder="1"/>
    <xf numFmtId="0" fontId="11" fillId="0" borderId="2" xfId="0" applyFont="1" applyBorder="1"/>
    <xf numFmtId="0" fontId="11" fillId="0" borderId="33" xfId="0" applyFont="1" applyBorder="1"/>
    <xf numFmtId="0" fontId="4" fillId="0" borderId="25" xfId="17" applyFont="1" applyBorder="1" applyAlignment="1">
      <alignment horizontal="center" vertical="center"/>
    </xf>
    <xf numFmtId="0" fontId="4" fillId="0" borderId="27" xfId="17" applyFont="1" applyBorder="1" applyAlignment="1">
      <alignment horizontal="center" vertical="center"/>
    </xf>
    <xf numFmtId="0" fontId="4" fillId="0" borderId="17" xfId="17" applyFont="1" applyBorder="1" applyAlignment="1">
      <alignment horizontal="center" vertical="center"/>
    </xf>
    <xf numFmtId="0" fontId="4" fillId="0" borderId="23" xfId="0" applyFont="1" applyBorder="1" applyAlignment="1">
      <alignment horizontal="center"/>
    </xf>
    <xf numFmtId="0" fontId="4" fillId="0" borderId="24" xfId="0" applyFont="1" applyBorder="1" applyAlignment="1">
      <alignment horizontal="center"/>
    </xf>
    <xf numFmtId="0" fontId="4" fillId="0" borderId="12" xfId="0" applyFont="1" applyBorder="1" applyAlignment="1">
      <alignment horizontal="center"/>
    </xf>
    <xf numFmtId="0" fontId="35" fillId="0" borderId="0" xfId="17" applyFont="1" applyAlignment="1">
      <alignment horizontal="center" wrapText="1"/>
    </xf>
    <xf numFmtId="0" fontId="20" fillId="0" borderId="9" xfId="17" applyFont="1" applyBorder="1" applyAlignment="1">
      <alignment horizontal="center"/>
    </xf>
    <xf numFmtId="0" fontId="20" fillId="0" borderId="10" xfId="17" applyFont="1" applyBorder="1" applyAlignment="1">
      <alignment horizontal="center"/>
    </xf>
    <xf numFmtId="0" fontId="20" fillId="0" borderId="23" xfId="17" applyFont="1" applyBorder="1" applyAlignment="1">
      <alignment horizontal="center"/>
    </xf>
    <xf numFmtId="0" fontId="20" fillId="0" borderId="12" xfId="17" applyFont="1" applyBorder="1" applyAlignment="1">
      <alignment horizontal="center"/>
    </xf>
    <xf numFmtId="0" fontId="4" fillId="0" borderId="9" xfId="17" applyFont="1" applyBorder="1" applyAlignment="1">
      <alignment horizontal="center" vertical="center" wrapText="1"/>
    </xf>
    <xf numFmtId="0" fontId="4" fillId="0" borderId="22" xfId="17" applyFont="1" applyBorder="1" applyAlignment="1">
      <alignment horizontal="center" vertical="center" wrapText="1"/>
    </xf>
    <xf numFmtId="0" fontId="4" fillId="0" borderId="10" xfId="17" applyFont="1" applyBorder="1" applyAlignment="1">
      <alignment horizontal="center" vertical="center" wrapText="1"/>
    </xf>
    <xf numFmtId="0" fontId="4" fillId="0" borderId="1" xfId="17" applyFont="1" applyBorder="1" applyAlignment="1">
      <alignment horizontal="center" vertical="center" wrapText="1"/>
    </xf>
    <xf numFmtId="0" fontId="4" fillId="0" borderId="0" xfId="17" applyFont="1" applyAlignment="1">
      <alignment horizontal="center" vertical="center" wrapText="1"/>
    </xf>
    <xf numFmtId="0" fontId="4" fillId="0" borderId="2" xfId="17" applyFont="1" applyBorder="1" applyAlignment="1">
      <alignment horizontal="center" vertical="center" wrapText="1"/>
    </xf>
    <xf numFmtId="0" fontId="1" fillId="0" borderId="89" xfId="17" applyFont="1" applyBorder="1" applyAlignment="1">
      <alignment horizontal="center" vertical="center"/>
    </xf>
    <xf numFmtId="0" fontId="9" fillId="0" borderId="0" xfId="17" applyFont="1" applyAlignment="1">
      <alignment horizontal="left" vertical="top" wrapText="1"/>
    </xf>
    <xf numFmtId="0" fontId="24" fillId="0" borderId="37" xfId="17" applyFont="1" applyBorder="1" applyAlignment="1">
      <alignment horizontal="center"/>
    </xf>
    <xf numFmtId="0" fontId="24" fillId="0" borderId="5" xfId="17" applyFont="1" applyBorder="1" applyAlignment="1">
      <alignment horizontal="center"/>
    </xf>
    <xf numFmtId="0" fontId="16" fillId="0" borderId="0" xfId="17" applyFont="1" applyAlignment="1">
      <alignment horizontal="center"/>
    </xf>
    <xf numFmtId="0" fontId="19" fillId="0" borderId="27" xfId="0" applyFont="1" applyBorder="1" applyAlignment="1">
      <alignment horizontal="center"/>
    </xf>
    <xf numFmtId="0" fontId="19" fillId="0" borderId="27" xfId="17" applyFont="1" applyBorder="1" applyAlignment="1">
      <alignment horizontal="center" vertical="center"/>
    </xf>
    <xf numFmtId="0" fontId="13" fillId="0" borderId="94" xfId="17" applyFont="1" applyBorder="1" applyAlignment="1">
      <alignment horizontal="center" vertical="center" wrapText="1"/>
    </xf>
    <xf numFmtId="0" fontId="13" fillId="0" borderId="95" xfId="17" applyFont="1" applyBorder="1" applyAlignment="1">
      <alignment horizontal="center" vertical="center" wrapText="1"/>
    </xf>
    <xf numFmtId="0" fontId="19" fillId="0" borderId="31" xfId="17" applyFont="1" applyBorder="1" applyAlignment="1">
      <alignment horizontal="center" vertical="center"/>
    </xf>
    <xf numFmtId="0" fontId="19" fillId="0" borderId="56" xfId="17" applyFont="1" applyBorder="1" applyAlignment="1">
      <alignment horizontal="center" vertical="center"/>
    </xf>
    <xf numFmtId="0" fontId="19" fillId="0" borderId="1" xfId="17" applyFont="1" applyBorder="1" applyAlignment="1">
      <alignment horizontal="center" vertical="center"/>
    </xf>
    <xf numFmtId="0" fontId="19" fillId="0" borderId="0" xfId="17" applyFont="1" applyAlignment="1">
      <alignment horizontal="center" vertical="center"/>
    </xf>
    <xf numFmtId="0" fontId="40" fillId="0" borderId="26" xfId="17" applyFont="1" applyBorder="1" applyAlignment="1">
      <alignment horizontal="center" vertical="center"/>
    </xf>
    <xf numFmtId="0" fontId="40" fillId="0" borderId="27" xfId="17" applyFont="1" applyBorder="1" applyAlignment="1">
      <alignment horizontal="center" vertical="center"/>
    </xf>
    <xf numFmtId="0" fontId="40" fillId="0" borderId="17" xfId="17" applyFont="1" applyBorder="1" applyAlignment="1">
      <alignment horizontal="center" vertical="center"/>
    </xf>
    <xf numFmtId="0" fontId="0" fillId="0" borderId="56" xfId="0" applyBorder="1" applyAlignment="1">
      <alignment horizontal="center"/>
    </xf>
    <xf numFmtId="0" fontId="0" fillId="0" borderId="57" xfId="0" applyBorder="1" applyAlignment="1">
      <alignment horizontal="center"/>
    </xf>
    <xf numFmtId="0" fontId="0" fillId="0" borderId="31" xfId="0" applyBorder="1" applyAlignment="1">
      <alignment horizontal="center"/>
    </xf>
    <xf numFmtId="0" fontId="0" fillId="0" borderId="61" xfId="0" applyBorder="1" applyAlignment="1">
      <alignment horizontal="center"/>
    </xf>
    <xf numFmtId="0" fontId="11" fillId="0" borderId="36" xfId="17" applyFont="1" applyBorder="1" applyAlignment="1">
      <alignment horizontal="center" vertical="center"/>
    </xf>
    <xf numFmtId="0" fontId="11" fillId="0" borderId="90" xfId="17" applyFont="1" applyBorder="1" applyAlignment="1">
      <alignment horizontal="center" vertical="center"/>
    </xf>
    <xf numFmtId="0" fontId="11" fillId="0" borderId="84" xfId="17" applyFont="1" applyBorder="1" applyAlignment="1">
      <alignment horizontal="center" vertical="center"/>
    </xf>
    <xf numFmtId="0" fontId="11" fillId="0" borderId="91" xfId="17" applyFont="1" applyBorder="1" applyAlignment="1">
      <alignment horizontal="center" vertical="center"/>
    </xf>
    <xf numFmtId="0" fontId="13" fillId="0" borderId="92" xfId="0" applyFont="1" applyBorder="1" applyAlignment="1">
      <alignment horizontal="center" vertical="center" wrapText="1"/>
    </xf>
    <xf numFmtId="0" fontId="13" fillId="0" borderId="24" xfId="0" applyFont="1" applyBorder="1" applyAlignment="1">
      <alignment horizontal="center" vertical="center" wrapText="1"/>
    </xf>
    <xf numFmtId="0" fontId="13" fillId="0" borderId="93" xfId="0" applyFont="1" applyBorder="1" applyAlignment="1">
      <alignment horizontal="center" vertical="center" wrapText="1"/>
    </xf>
    <xf numFmtId="0" fontId="13" fillId="0" borderId="89" xfId="17" applyFont="1" applyBorder="1" applyAlignment="1">
      <alignment horizontal="center" vertical="center" wrapText="1"/>
    </xf>
    <xf numFmtId="0" fontId="13" fillId="0" borderId="12" xfId="17" applyFont="1" applyBorder="1" applyAlignment="1">
      <alignment horizontal="center" vertical="center" wrapText="1"/>
    </xf>
    <xf numFmtId="0" fontId="19" fillId="5" borderId="37" xfId="17" applyFont="1" applyFill="1" applyBorder="1" applyAlignment="1">
      <alignment horizontal="center" vertical="top"/>
    </xf>
    <xf numFmtId="0" fontId="19" fillId="5" borderId="36" xfId="17" applyFont="1" applyFill="1" applyBorder="1" applyAlignment="1">
      <alignment horizontal="center" vertical="top"/>
    </xf>
    <xf numFmtId="0" fontId="19" fillId="5" borderId="5" xfId="17" applyFont="1" applyFill="1" applyBorder="1" applyAlignment="1">
      <alignment horizontal="center" vertical="top"/>
    </xf>
    <xf numFmtId="0" fontId="19" fillId="5" borderId="1" xfId="17" applyFont="1" applyFill="1" applyBorder="1" applyAlignment="1">
      <alignment horizontal="left" vertical="top" wrapText="1"/>
    </xf>
    <xf numFmtId="0" fontId="19" fillId="5" borderId="2" xfId="17" applyFont="1" applyFill="1" applyBorder="1" applyAlignment="1">
      <alignment horizontal="left" vertical="top" wrapText="1"/>
    </xf>
    <xf numFmtId="0" fontId="19" fillId="5" borderId="3" xfId="17" applyFont="1" applyFill="1" applyBorder="1" applyAlignment="1">
      <alignment horizontal="left" vertical="top" wrapText="1"/>
    </xf>
    <xf numFmtId="0" fontId="19" fillId="5" borderId="23" xfId="17" applyFont="1" applyFill="1" applyBorder="1" applyAlignment="1">
      <alignment horizontal="left" vertical="top" wrapText="1"/>
    </xf>
    <xf numFmtId="0" fontId="19" fillId="5" borderId="12" xfId="17" applyFont="1" applyFill="1" applyBorder="1" applyAlignment="1">
      <alignment horizontal="left" vertical="top" wrapText="1"/>
    </xf>
    <xf numFmtId="0" fontId="19" fillId="5" borderId="1" xfId="17" applyFont="1" applyFill="1" applyBorder="1" applyAlignment="1">
      <alignment horizontal="center" vertical="top" wrapText="1"/>
    </xf>
    <xf numFmtId="0" fontId="19" fillId="5" borderId="0" xfId="17" applyFont="1" applyFill="1" applyAlignment="1">
      <alignment horizontal="center" vertical="top" wrapText="1"/>
    </xf>
    <xf numFmtId="0" fontId="19" fillId="5" borderId="23" xfId="17" applyFont="1" applyFill="1" applyBorder="1" applyAlignment="1">
      <alignment horizontal="center" vertical="top" wrapText="1"/>
    </xf>
    <xf numFmtId="0" fontId="19" fillId="5" borderId="24" xfId="17" applyFont="1" applyFill="1" applyBorder="1" applyAlignment="1">
      <alignment horizontal="center" vertical="top" wrapText="1"/>
    </xf>
    <xf numFmtId="0" fontId="23" fillId="5" borderId="3" xfId="17" applyFont="1" applyFill="1" applyBorder="1" applyAlignment="1">
      <alignment horizontal="center" vertical="top" wrapText="1"/>
    </xf>
    <xf numFmtId="0" fontId="23" fillId="5" borderId="6" xfId="17" applyFont="1" applyFill="1" applyBorder="1" applyAlignment="1">
      <alignment horizontal="center" vertical="top" wrapText="1"/>
    </xf>
    <xf numFmtId="0" fontId="11" fillId="5" borderId="3" xfId="0" applyFont="1" applyFill="1" applyBorder="1" applyAlignment="1">
      <alignment horizontal="left" vertical="top" wrapText="1"/>
    </xf>
    <xf numFmtId="167" fontId="23" fillId="5" borderId="9" xfId="17" applyNumberFormat="1" applyFont="1" applyFill="1" applyBorder="1" applyAlignment="1">
      <alignment horizontal="left" wrapText="1"/>
    </xf>
    <xf numFmtId="167" fontId="23" fillId="5" borderId="22" xfId="17" applyNumberFormat="1" applyFont="1" applyFill="1" applyBorder="1" applyAlignment="1">
      <alignment horizontal="left" wrapText="1"/>
    </xf>
    <xf numFmtId="0" fontId="19" fillId="5" borderId="0" xfId="17" applyFont="1" applyFill="1" applyAlignment="1">
      <alignment horizontal="left" vertical="top" wrapText="1"/>
    </xf>
    <xf numFmtId="0" fontId="23" fillId="5" borderId="1" xfId="17" applyFont="1" applyFill="1" applyBorder="1" applyAlignment="1">
      <alignment horizontal="center" vertical="top" wrapText="1"/>
    </xf>
    <xf numFmtId="0" fontId="23" fillId="5" borderId="0" xfId="17" applyFont="1" applyFill="1" applyAlignment="1">
      <alignment horizontal="center" vertical="top" wrapText="1"/>
    </xf>
    <xf numFmtId="0" fontId="23" fillId="5" borderId="2" xfId="17" applyFont="1" applyFill="1" applyBorder="1" applyAlignment="1">
      <alignment horizontal="center" vertical="top" wrapText="1"/>
    </xf>
    <xf numFmtId="0" fontId="19" fillId="5" borderId="2" xfId="17" applyFont="1" applyFill="1" applyBorder="1" applyAlignment="1">
      <alignment horizontal="center" vertical="top" wrapText="1"/>
    </xf>
    <xf numFmtId="0" fontId="19" fillId="5" borderId="3" xfId="0" applyFont="1" applyFill="1" applyBorder="1" applyAlignment="1">
      <alignment horizontal="left" vertical="top" wrapText="1"/>
    </xf>
    <xf numFmtId="0" fontId="19" fillId="5" borderId="20" xfId="17" applyFont="1" applyFill="1" applyBorder="1" applyAlignment="1">
      <alignment horizontal="left" vertical="top" wrapText="1"/>
    </xf>
    <xf numFmtId="0" fontId="23" fillId="5" borderId="16" xfId="17" applyFont="1" applyFill="1" applyBorder="1" applyAlignment="1">
      <alignment horizontal="center" vertical="center" textRotation="90" wrapText="1"/>
    </xf>
    <xf numFmtId="0" fontId="23" fillId="5" borderId="43" xfId="17" applyFont="1" applyFill="1" applyBorder="1" applyAlignment="1">
      <alignment horizontal="center" vertical="center" textRotation="90" wrapText="1"/>
    </xf>
    <xf numFmtId="0" fontId="23" fillId="5" borderId="68" xfId="17" applyFont="1" applyFill="1" applyBorder="1" applyAlignment="1">
      <alignment horizontal="center" vertical="center" textRotation="90" wrapText="1"/>
    </xf>
    <xf numFmtId="0" fontId="19" fillId="5" borderId="3" xfId="10" applyFont="1" applyFill="1" applyBorder="1" applyAlignment="1">
      <alignment horizontal="left" wrapText="1"/>
    </xf>
    <xf numFmtId="0" fontId="19" fillId="5" borderId="3" xfId="10" applyFont="1" applyFill="1" applyBorder="1" applyAlignment="1">
      <alignment horizontal="left" vertical="top" wrapText="1"/>
    </xf>
    <xf numFmtId="0" fontId="19" fillId="5" borderId="3" xfId="0" applyFont="1" applyFill="1" applyBorder="1" applyAlignment="1">
      <alignment vertical="top" wrapText="1"/>
    </xf>
    <xf numFmtId="0" fontId="19" fillId="0" borderId="3" xfId="17" applyFont="1" applyBorder="1" applyAlignment="1">
      <alignment horizontal="left" vertical="top" wrapText="1"/>
    </xf>
    <xf numFmtId="0" fontId="19" fillId="0" borderId="48" xfId="0" applyFont="1" applyBorder="1" applyAlignment="1">
      <alignment horizontal="left" vertical="top" wrapText="1"/>
    </xf>
    <xf numFmtId="0" fontId="23" fillId="5" borderId="44" xfId="17" applyFont="1" applyFill="1" applyBorder="1" applyAlignment="1">
      <alignment horizontal="center"/>
    </xf>
    <xf numFmtId="0" fontId="23" fillId="5" borderId="46" xfId="17" applyFont="1" applyFill="1" applyBorder="1" applyAlignment="1">
      <alignment horizontal="center"/>
    </xf>
    <xf numFmtId="0" fontId="23" fillId="5" borderId="45" xfId="17" applyFont="1" applyFill="1" applyBorder="1" applyAlignment="1">
      <alignment horizontal="center"/>
    </xf>
    <xf numFmtId="0" fontId="19" fillId="5" borderId="8" xfId="10" applyFont="1" applyFill="1" applyBorder="1" applyAlignment="1">
      <alignment horizontal="center" textRotation="90" wrapText="1"/>
    </xf>
    <xf numFmtId="0" fontId="19" fillId="5" borderId="3" xfId="10" applyFont="1" applyFill="1" applyBorder="1" applyAlignment="1">
      <alignment horizontal="center" textRotation="90" wrapText="1"/>
    </xf>
    <xf numFmtId="0" fontId="19" fillId="5" borderId="6" xfId="10" applyFont="1" applyFill="1" applyBorder="1" applyAlignment="1">
      <alignment horizontal="center" textRotation="90" wrapText="1"/>
    </xf>
    <xf numFmtId="0" fontId="19" fillId="5" borderId="9" xfId="0" applyFont="1" applyFill="1" applyBorder="1" applyAlignment="1">
      <alignment horizontal="center" vertical="top" wrapText="1"/>
    </xf>
    <xf numFmtId="0" fontId="19" fillId="5" borderId="22" xfId="0" applyFont="1" applyFill="1" applyBorder="1" applyAlignment="1">
      <alignment horizontal="center" vertical="top" wrapText="1"/>
    </xf>
    <xf numFmtId="0" fontId="19" fillId="5" borderId="10" xfId="0" applyFont="1" applyFill="1" applyBorder="1" applyAlignment="1">
      <alignment horizontal="center" vertical="top" wrapText="1"/>
    </xf>
    <xf numFmtId="0" fontId="19" fillId="5" borderId="1" xfId="0" applyFont="1" applyFill="1" applyBorder="1" applyAlignment="1">
      <alignment horizontal="center" vertical="top" wrapText="1"/>
    </xf>
    <xf numFmtId="0" fontId="19" fillId="5" borderId="0" xfId="0" applyFont="1" applyFill="1" applyAlignment="1">
      <alignment horizontal="center" vertical="top" wrapText="1"/>
    </xf>
    <xf numFmtId="0" fontId="19" fillId="5" borderId="2" xfId="0" applyFont="1" applyFill="1" applyBorder="1" applyAlignment="1">
      <alignment horizontal="center" vertical="top" wrapText="1"/>
    </xf>
    <xf numFmtId="0" fontId="19" fillId="5" borderId="23" xfId="0" applyFont="1" applyFill="1" applyBorder="1" applyAlignment="1">
      <alignment horizontal="center" vertical="top" wrapText="1"/>
    </xf>
    <xf numFmtId="0" fontId="19" fillId="5" borderId="24" xfId="0" applyFont="1" applyFill="1" applyBorder="1" applyAlignment="1">
      <alignment horizontal="center" vertical="top" wrapText="1"/>
    </xf>
    <xf numFmtId="0" fontId="19" fillId="5" borderId="12" xfId="0" applyFont="1" applyFill="1" applyBorder="1" applyAlignment="1">
      <alignment horizontal="center" vertical="top" wrapText="1"/>
    </xf>
    <xf numFmtId="0" fontId="19" fillId="5" borderId="3" xfId="17" applyFont="1" applyFill="1" applyBorder="1" applyAlignment="1">
      <alignment horizontal="center" vertical="top" wrapText="1"/>
    </xf>
    <xf numFmtId="0" fontId="19" fillId="5" borderId="1" xfId="0" applyFont="1" applyFill="1" applyBorder="1" applyAlignment="1">
      <alignment horizontal="left" vertical="top" wrapText="1"/>
    </xf>
    <xf numFmtId="167" fontId="23" fillId="5" borderId="37" xfId="17" applyNumberFormat="1" applyFont="1" applyFill="1" applyBorder="1" applyAlignment="1">
      <alignment horizontal="center" wrapText="1"/>
    </xf>
    <xf numFmtId="167" fontId="23" fillId="5" borderId="36" xfId="17" applyNumberFormat="1" applyFont="1" applyFill="1" applyBorder="1" applyAlignment="1">
      <alignment horizontal="center" wrapText="1"/>
    </xf>
    <xf numFmtId="167" fontId="23" fillId="5" borderId="5" xfId="17" applyNumberFormat="1" applyFont="1" applyFill="1" applyBorder="1" applyAlignment="1">
      <alignment horizontal="center" wrapText="1"/>
    </xf>
    <xf numFmtId="0" fontId="19" fillId="5" borderId="3" xfId="10" applyFont="1" applyFill="1" applyBorder="1" applyAlignment="1">
      <alignment horizontal="left" vertical="center" wrapText="1"/>
    </xf>
    <xf numFmtId="0" fontId="19" fillId="5" borderId="6" xfId="0" applyFont="1" applyFill="1" applyBorder="1" applyAlignment="1">
      <alignment horizontal="left" vertical="top" wrapText="1"/>
    </xf>
    <xf numFmtId="0" fontId="23" fillId="5" borderId="1" xfId="17" applyFont="1" applyFill="1" applyBorder="1" applyAlignment="1">
      <alignment horizontal="center" vertical="center" textRotation="90" wrapText="1"/>
    </xf>
    <xf numFmtId="0" fontId="23" fillId="5" borderId="135" xfId="17" applyFont="1" applyFill="1" applyBorder="1" applyAlignment="1">
      <alignment horizontal="center" vertical="center" textRotation="90" wrapText="1"/>
    </xf>
    <xf numFmtId="0" fontId="13" fillId="5" borderId="20" xfId="17" applyFont="1" applyFill="1" applyBorder="1" applyAlignment="1">
      <alignment horizontal="left" vertical="top" wrapText="1"/>
    </xf>
    <xf numFmtId="0" fontId="23" fillId="5" borderId="20" xfId="17" applyFont="1" applyFill="1" applyBorder="1" applyAlignment="1">
      <alignment horizontal="left" vertical="top" wrapText="1"/>
    </xf>
    <xf numFmtId="0" fontId="23" fillId="5" borderId="20" xfId="17" applyFont="1" applyFill="1" applyBorder="1" applyAlignment="1">
      <alignment horizontal="center" vertical="center" textRotation="90" wrapText="1"/>
    </xf>
    <xf numFmtId="0" fontId="23" fillId="5" borderId="85" xfId="17" applyFont="1" applyFill="1" applyBorder="1" applyAlignment="1">
      <alignment horizontal="center" vertical="center" textRotation="90" wrapText="1"/>
    </xf>
    <xf numFmtId="167" fontId="23" fillId="0" borderId="9" xfId="17" applyNumberFormat="1" applyFont="1" applyBorder="1" applyAlignment="1">
      <alignment horizontal="center" vertical="center" wrapText="1"/>
    </xf>
    <xf numFmtId="167" fontId="23" fillId="0" borderId="10" xfId="17" applyNumberFormat="1" applyFont="1" applyBorder="1" applyAlignment="1">
      <alignment horizontal="center" vertical="center" wrapText="1"/>
    </xf>
    <xf numFmtId="0" fontId="19" fillId="0" borderId="3" xfId="0" applyFont="1" applyBorder="1" applyAlignment="1">
      <alignment horizontal="left" vertical="top" wrapText="1"/>
    </xf>
    <xf numFmtId="0" fontId="19" fillId="0" borderId="1" xfId="17" applyFont="1" applyBorder="1" applyAlignment="1">
      <alignment horizontal="center" vertical="top" wrapText="1"/>
    </xf>
    <xf numFmtId="0" fontId="19" fillId="0" borderId="2" xfId="17" applyFont="1" applyBorder="1" applyAlignment="1">
      <alignment horizontal="center" vertical="top" wrapText="1"/>
    </xf>
    <xf numFmtId="0" fontId="19" fillId="0" borderId="3" xfId="0" applyFont="1" applyBorder="1" applyAlignment="1">
      <alignment horizontal="left" wrapText="1"/>
    </xf>
    <xf numFmtId="0" fontId="19" fillId="0" borderId="2" xfId="0" applyFont="1" applyBorder="1" applyAlignment="1">
      <alignment horizontal="left" wrapText="1"/>
    </xf>
    <xf numFmtId="0" fontId="19" fillId="0" borderId="1" xfId="17" applyFont="1" applyBorder="1" applyAlignment="1">
      <alignment horizontal="left" vertical="top" wrapText="1"/>
    </xf>
    <xf numFmtId="0" fontId="19" fillId="0" borderId="2" xfId="17" applyFont="1" applyBorder="1" applyAlignment="1">
      <alignment horizontal="left" vertical="top" wrapText="1"/>
    </xf>
    <xf numFmtId="0" fontId="19" fillId="0" borderId="0" xfId="17" applyFont="1" applyAlignment="1">
      <alignment horizontal="left" vertical="top" wrapText="1"/>
    </xf>
    <xf numFmtId="0" fontId="23" fillId="5" borderId="3" xfId="0" applyFont="1" applyFill="1" applyBorder="1" applyAlignment="1">
      <alignment horizontal="center" wrapText="1"/>
    </xf>
    <xf numFmtId="0" fontId="23" fillId="5" borderId="6" xfId="0" applyFont="1" applyFill="1" applyBorder="1" applyAlignment="1">
      <alignment horizontal="center" wrapText="1"/>
    </xf>
    <xf numFmtId="0" fontId="11" fillId="5" borderId="3" xfId="17" applyFont="1" applyFill="1" applyBorder="1" applyAlignment="1">
      <alignment horizontal="center" vertical="center" wrapText="1"/>
    </xf>
    <xf numFmtId="0" fontId="11" fillId="5" borderId="6" xfId="17" applyFont="1" applyFill="1" applyBorder="1" applyAlignment="1">
      <alignment horizontal="center" vertical="center" wrapText="1"/>
    </xf>
    <xf numFmtId="0" fontId="19" fillId="5" borderId="1" xfId="0" applyFont="1" applyFill="1" applyBorder="1" applyAlignment="1">
      <alignment vertical="top" wrapText="1"/>
    </xf>
    <xf numFmtId="0" fontId="19" fillId="5" borderId="3" xfId="16" applyFont="1" applyFill="1" applyBorder="1" applyAlignment="1">
      <alignment horizontal="left" vertical="top" wrapText="1"/>
    </xf>
    <xf numFmtId="0" fontId="19" fillId="5" borderId="3" xfId="16" applyFont="1" applyFill="1" applyBorder="1" applyAlignment="1">
      <alignment horizontal="left" vertical="top"/>
    </xf>
    <xf numFmtId="167" fontId="23" fillId="0" borderId="101" xfId="17" applyNumberFormat="1" applyFont="1" applyBorder="1" applyAlignment="1">
      <alignment horizontal="left" wrapText="1"/>
    </xf>
    <xf numFmtId="167" fontId="23" fillId="0" borderId="102" xfId="17" applyNumberFormat="1" applyFont="1" applyBorder="1" applyAlignment="1">
      <alignment horizontal="left" wrapText="1"/>
    </xf>
    <xf numFmtId="0" fontId="20" fillId="0" borderId="102" xfId="0" applyFont="1" applyBorder="1" applyAlignment="1">
      <alignment wrapText="1"/>
    </xf>
    <xf numFmtId="167" fontId="23" fillId="0" borderId="9" xfId="17" applyNumberFormat="1" applyFont="1" applyBorder="1" applyAlignment="1">
      <alignment horizontal="left" wrapText="1"/>
    </xf>
    <xf numFmtId="167" fontId="23" fillId="0" borderId="22" xfId="17" applyNumberFormat="1" applyFont="1" applyBorder="1" applyAlignment="1">
      <alignment horizontal="left" wrapText="1"/>
    </xf>
    <xf numFmtId="0" fontId="20" fillId="0" borderId="22" xfId="0" applyFont="1" applyBorder="1" applyAlignment="1">
      <alignment wrapText="1"/>
    </xf>
    <xf numFmtId="0" fontId="19" fillId="2" borderId="1" xfId="17" applyFont="1" applyFill="1" applyBorder="1" applyAlignment="1">
      <alignment horizontal="left" vertical="top" wrapText="1"/>
    </xf>
    <xf numFmtId="0" fontId="19" fillId="0" borderId="104" xfId="0" applyFont="1" applyBorder="1" applyAlignment="1">
      <alignment horizontal="center" vertical="top" wrapText="1"/>
    </xf>
    <xf numFmtId="0" fontId="19" fillId="0" borderId="0" xfId="0" applyFont="1" applyAlignment="1">
      <alignment horizontal="center" vertical="top" wrapText="1"/>
    </xf>
    <xf numFmtId="0" fontId="19" fillId="0" borderId="105" xfId="0" applyFont="1" applyBorder="1" applyAlignment="1">
      <alignment horizontal="center" vertical="top" wrapText="1"/>
    </xf>
    <xf numFmtId="0" fontId="19" fillId="0" borderId="1" xfId="0" applyFont="1" applyBorder="1" applyAlignment="1">
      <alignment horizontal="left" vertical="top" wrapText="1"/>
    </xf>
    <xf numFmtId="0" fontId="19" fillId="0" borderId="0" xfId="0" applyFont="1" applyAlignment="1">
      <alignment horizontal="left" vertical="top" wrapText="1"/>
    </xf>
    <xf numFmtId="0" fontId="19" fillId="0" borderId="2" xfId="0" applyFont="1" applyBorder="1" applyAlignment="1">
      <alignment horizontal="left" vertical="top" wrapText="1"/>
    </xf>
    <xf numFmtId="0" fontId="26" fillId="0" borderId="104" xfId="17" applyFont="1" applyBorder="1" applyAlignment="1">
      <alignment horizontal="center"/>
    </xf>
    <xf numFmtId="0" fontId="26" fillId="0" borderId="0" xfId="17" applyFont="1" applyAlignment="1">
      <alignment horizontal="center"/>
    </xf>
    <xf numFmtId="0" fontId="26" fillId="0" borderId="105" xfId="17" applyFont="1" applyBorder="1" applyAlignment="1">
      <alignment horizontal="center"/>
    </xf>
    <xf numFmtId="0" fontId="26" fillId="0" borderId="1" xfId="17" applyFont="1" applyBorder="1" applyAlignment="1">
      <alignment horizontal="center"/>
    </xf>
    <xf numFmtId="0" fontId="26" fillId="0" borderId="2" xfId="17" applyFont="1" applyBorder="1" applyAlignment="1">
      <alignment horizontal="center"/>
    </xf>
    <xf numFmtId="0" fontId="26" fillId="0" borderId="104" xfId="17" applyFont="1" applyBorder="1" applyAlignment="1">
      <alignment horizontal="center" wrapText="1"/>
    </xf>
    <xf numFmtId="0" fontId="26" fillId="0" borderId="0" xfId="17" applyFont="1" applyAlignment="1">
      <alignment horizontal="center" wrapText="1"/>
    </xf>
    <xf numFmtId="0" fontId="26" fillId="0" borderId="1" xfId="17" applyFont="1" applyBorder="1" applyAlignment="1">
      <alignment horizontal="center" wrapText="1"/>
    </xf>
    <xf numFmtId="0" fontId="19" fillId="5" borderId="23" xfId="0" applyFont="1" applyFill="1" applyBorder="1" applyAlignment="1">
      <alignment horizontal="center" vertical="center"/>
    </xf>
    <xf numFmtId="0" fontId="19" fillId="5" borderId="24" xfId="0" applyFont="1" applyFill="1" applyBorder="1" applyAlignment="1">
      <alignment horizontal="center" vertical="center"/>
    </xf>
    <xf numFmtId="0" fontId="19" fillId="5" borderId="12" xfId="0" applyFont="1" applyFill="1" applyBorder="1" applyAlignment="1">
      <alignment horizontal="center" vertical="center"/>
    </xf>
    <xf numFmtId="0" fontId="19" fillId="5" borderId="3" xfId="0" applyFont="1" applyFill="1" applyBorder="1" applyAlignment="1">
      <alignment horizontal="center" textRotation="90" wrapText="1"/>
    </xf>
    <xf numFmtId="0" fontId="19" fillId="5" borderId="51" xfId="0" applyFont="1" applyFill="1" applyBorder="1" applyAlignment="1">
      <alignment horizontal="center" textRotation="90" wrapText="1"/>
    </xf>
    <xf numFmtId="0" fontId="19" fillId="5" borderId="3" xfId="0" applyFont="1" applyFill="1" applyBorder="1" applyAlignment="1">
      <alignment horizontal="center" textRotation="90"/>
    </xf>
    <xf numFmtId="0" fontId="19" fillId="5" borderId="51" xfId="0" applyFont="1" applyFill="1" applyBorder="1" applyAlignment="1">
      <alignment horizontal="center" textRotation="90"/>
    </xf>
    <xf numFmtId="0" fontId="19" fillId="0" borderId="8" xfId="0" quotePrefix="1" applyFont="1" applyBorder="1" applyAlignment="1">
      <alignment horizontal="center" textRotation="90" wrapText="1"/>
    </xf>
    <xf numFmtId="0" fontId="20" fillId="0" borderId="3" xfId="0" applyFont="1" applyBorder="1" applyAlignment="1">
      <alignment horizontal="center" textRotation="90" wrapText="1"/>
    </xf>
    <xf numFmtId="0" fontId="20" fillId="0" borderId="6" xfId="0" applyFont="1" applyBorder="1" applyAlignment="1">
      <alignment horizontal="center" textRotation="90" wrapText="1"/>
    </xf>
    <xf numFmtId="0" fontId="19" fillId="0" borderId="1" xfId="17" applyFont="1" applyBorder="1" applyAlignment="1">
      <alignment horizontal="left" vertical="center" wrapText="1"/>
    </xf>
    <xf numFmtId="0" fontId="19" fillId="0" borderId="0" xfId="17" applyFont="1" applyAlignment="1">
      <alignment horizontal="left" vertical="center" wrapText="1"/>
    </xf>
    <xf numFmtId="0" fontId="19" fillId="0" borderId="2" xfId="17" applyFont="1" applyBorder="1" applyAlignment="1">
      <alignment horizontal="left" vertical="center" wrapText="1"/>
    </xf>
    <xf numFmtId="0" fontId="19" fillId="0" borderId="23" xfId="17" applyFont="1" applyBorder="1" applyAlignment="1">
      <alignment horizontal="left" vertical="center" wrapText="1"/>
    </xf>
    <xf numFmtId="0" fontId="19" fillId="0" borderId="24" xfId="17" applyFont="1" applyBorder="1" applyAlignment="1">
      <alignment horizontal="left" vertical="center" wrapText="1"/>
    </xf>
    <xf numFmtId="0" fontId="19" fillId="0" borderId="12" xfId="17" applyFont="1" applyBorder="1" applyAlignment="1">
      <alignment horizontal="left" vertical="center" wrapText="1"/>
    </xf>
    <xf numFmtId="0" fontId="19" fillId="0" borderId="8" xfId="0" applyFont="1" applyBorder="1" applyAlignment="1">
      <alignment horizontal="center" textRotation="90" wrapText="1"/>
    </xf>
    <xf numFmtId="0" fontId="19" fillId="0" borderId="9" xfId="0" quotePrefix="1" applyFont="1" applyBorder="1" applyAlignment="1">
      <alignment horizontal="center" textRotation="90" wrapText="1"/>
    </xf>
    <xf numFmtId="0" fontId="20" fillId="0" borderId="1" xfId="0" applyFont="1" applyBorder="1" applyAlignment="1">
      <alignment horizontal="center" textRotation="90" wrapText="1"/>
    </xf>
    <xf numFmtId="0" fontId="42" fillId="0" borderId="3" xfId="17" applyFont="1" applyBorder="1" applyAlignment="1">
      <alignment horizontal="left" vertical="center" wrapText="1"/>
    </xf>
    <xf numFmtId="0" fontId="23" fillId="0" borderId="3" xfId="17" applyFont="1" applyBorder="1" applyAlignment="1">
      <alignment horizontal="center"/>
    </xf>
    <xf numFmtId="0" fontId="19" fillId="5" borderId="8" xfId="0" applyFont="1" applyFill="1" applyBorder="1" applyAlignment="1">
      <alignment horizontal="center" textRotation="90" wrapText="1"/>
    </xf>
    <xf numFmtId="0" fontId="19" fillId="5" borderId="3" xfId="17" applyFont="1" applyFill="1" applyBorder="1" applyAlignment="1">
      <alignment horizontal="center" textRotation="90" wrapText="1"/>
    </xf>
    <xf numFmtId="0" fontId="19" fillId="5" borderId="51" xfId="17" applyFont="1" applyFill="1" applyBorder="1" applyAlignment="1">
      <alignment horizontal="center" textRotation="90" wrapText="1"/>
    </xf>
    <xf numFmtId="0" fontId="19" fillId="5" borderId="2" xfId="17" applyFont="1" applyFill="1" applyBorder="1" applyAlignment="1">
      <alignment horizontal="left" vertical="center" wrapText="1"/>
    </xf>
    <xf numFmtId="0" fontId="19" fillId="5" borderId="3" xfId="17" applyFont="1" applyFill="1" applyBorder="1" applyAlignment="1">
      <alignment horizontal="left" vertical="center" wrapText="1"/>
    </xf>
    <xf numFmtId="0" fontId="19" fillId="5" borderId="1" xfId="17" applyFont="1" applyFill="1" applyBorder="1" applyAlignment="1">
      <alignment horizontal="left" wrapText="1"/>
    </xf>
    <xf numFmtId="0" fontId="19" fillId="5" borderId="0" xfId="17" applyFont="1" applyFill="1" applyAlignment="1">
      <alignment horizontal="left" wrapText="1"/>
    </xf>
    <xf numFmtId="0" fontId="19" fillId="5" borderId="2" xfId="17" applyFont="1" applyFill="1" applyBorder="1" applyAlignment="1">
      <alignment horizontal="left" wrapText="1"/>
    </xf>
    <xf numFmtId="0" fontId="19" fillId="5" borderId="1" xfId="17" applyFont="1" applyFill="1" applyBorder="1" applyAlignment="1">
      <alignment horizontal="center" wrapText="1"/>
    </xf>
    <xf numFmtId="0" fontId="19" fillId="5" borderId="2" xfId="17" applyFont="1" applyFill="1" applyBorder="1" applyAlignment="1">
      <alignment horizontal="center" wrapText="1"/>
    </xf>
    <xf numFmtId="0" fontId="19" fillId="5" borderId="1" xfId="17" applyFont="1" applyFill="1" applyBorder="1" applyAlignment="1">
      <alignment horizontal="left" vertical="center" wrapText="1"/>
    </xf>
    <xf numFmtId="0" fontId="19" fillId="5" borderId="0" xfId="17" applyFont="1" applyFill="1" applyAlignment="1">
      <alignment horizontal="left" vertical="center" wrapText="1"/>
    </xf>
    <xf numFmtId="0" fontId="19" fillId="0" borderId="104" xfId="17" applyFont="1" applyBorder="1" applyAlignment="1">
      <alignment horizontal="center" vertical="top" wrapText="1"/>
    </xf>
    <xf numFmtId="0" fontId="19" fillId="0" borderId="0" xfId="17" applyFont="1" applyAlignment="1">
      <alignment horizontal="center" vertical="top" wrapText="1"/>
    </xf>
    <xf numFmtId="0" fontId="19" fillId="0" borderId="105" xfId="17" applyFont="1" applyBorder="1" applyAlignment="1">
      <alignment horizontal="center" vertical="top" wrapText="1"/>
    </xf>
    <xf numFmtId="0" fontId="19" fillId="5" borderId="1" xfId="0" applyFont="1" applyFill="1" applyBorder="1" applyAlignment="1">
      <alignment horizontal="left" vertical="center" wrapText="1"/>
    </xf>
    <xf numFmtId="0" fontId="19" fillId="5" borderId="0" xfId="0" applyFont="1" applyFill="1" applyAlignment="1">
      <alignment horizontal="left" vertical="center" wrapText="1"/>
    </xf>
    <xf numFmtId="0" fontId="23" fillId="5" borderId="44" xfId="17" applyFont="1" applyFill="1" applyBorder="1" applyAlignment="1">
      <alignment horizontal="center" vertical="center" wrapText="1"/>
    </xf>
    <xf numFmtId="0" fontId="23" fillId="5" borderId="45" xfId="17" applyFont="1" applyFill="1" applyBorder="1" applyAlignment="1">
      <alignment horizontal="center" vertical="center" wrapText="1"/>
    </xf>
    <xf numFmtId="0" fontId="19" fillId="5" borderId="1" xfId="0" applyFont="1" applyFill="1" applyBorder="1" applyAlignment="1">
      <alignment horizontal="center" textRotation="90" wrapText="1"/>
    </xf>
    <xf numFmtId="0" fontId="19" fillId="5" borderId="52" xfId="0" applyFont="1" applyFill="1" applyBorder="1" applyAlignment="1">
      <alignment horizontal="center" textRotation="90" wrapText="1"/>
    </xf>
    <xf numFmtId="0" fontId="19" fillId="5" borderId="2" xfId="0" applyFont="1" applyFill="1" applyBorder="1" applyAlignment="1">
      <alignment horizontal="left" vertical="center" wrapText="1"/>
    </xf>
    <xf numFmtId="0" fontId="23" fillId="5" borderId="46" xfId="17" applyFont="1" applyFill="1" applyBorder="1" applyAlignment="1">
      <alignment horizontal="center" vertical="center" wrapText="1"/>
    </xf>
    <xf numFmtId="0" fontId="19" fillId="5" borderId="8" xfId="17" applyFont="1" applyFill="1" applyBorder="1" applyAlignment="1">
      <alignment textRotation="90"/>
    </xf>
    <xf numFmtId="0" fontId="20" fillId="5" borderId="3" xfId="0" applyFont="1" applyFill="1" applyBorder="1" applyAlignment="1">
      <alignment textRotation="90"/>
    </xf>
    <xf numFmtId="0" fontId="19" fillId="5" borderId="3" xfId="0" applyFont="1" applyFill="1" applyBorder="1" applyAlignment="1">
      <alignment horizontal="center" vertical="top" wrapText="1"/>
    </xf>
    <xf numFmtId="0" fontId="19" fillId="5" borderId="8" xfId="0" quotePrefix="1" applyFont="1" applyFill="1" applyBorder="1" applyAlignment="1">
      <alignment horizontal="center" textRotation="90" wrapText="1"/>
    </xf>
    <xf numFmtId="0" fontId="20" fillId="5" borderId="3" xfId="0" applyFont="1" applyFill="1" applyBorder="1" applyAlignment="1">
      <alignment horizontal="center" textRotation="90" wrapText="1"/>
    </xf>
    <xf numFmtId="0" fontId="26" fillId="5" borderId="1" xfId="17" applyFont="1" applyFill="1" applyBorder="1" applyAlignment="1">
      <alignment horizontal="center"/>
    </xf>
    <xf numFmtId="0" fontId="26" fillId="5" borderId="0" xfId="17" applyFont="1" applyFill="1" applyAlignment="1">
      <alignment horizontal="center"/>
    </xf>
    <xf numFmtId="0" fontId="26" fillId="5" borderId="2" xfId="17" applyFont="1" applyFill="1" applyBorder="1" applyAlignment="1">
      <alignment horizontal="center"/>
    </xf>
    <xf numFmtId="0" fontId="19" fillId="5" borderId="0" xfId="0" applyFont="1" applyFill="1" applyAlignment="1">
      <alignment horizontal="left" vertical="top" wrapText="1"/>
    </xf>
    <xf numFmtId="0" fontId="20" fillId="5" borderId="22" xfId="0" applyFont="1" applyFill="1" applyBorder="1" applyAlignment="1">
      <alignment wrapText="1"/>
    </xf>
    <xf numFmtId="0" fontId="23" fillId="5" borderId="3" xfId="0" applyFont="1" applyFill="1" applyBorder="1" applyAlignment="1">
      <alignment horizontal="center" vertical="center" wrapText="1"/>
    </xf>
    <xf numFmtId="0" fontId="19" fillId="0" borderId="3" xfId="0" quotePrefix="1" applyFont="1" applyBorder="1" applyAlignment="1">
      <alignment horizontal="left" vertical="top" wrapText="1"/>
    </xf>
    <xf numFmtId="0" fontId="19" fillId="5" borderId="2" xfId="0" applyFont="1" applyFill="1" applyBorder="1" applyAlignment="1">
      <alignment horizontal="left" wrapText="1"/>
    </xf>
    <xf numFmtId="167" fontId="23" fillId="5" borderId="9" xfId="17" applyNumberFormat="1" applyFont="1" applyFill="1" applyBorder="1" applyAlignment="1">
      <alignment horizontal="left"/>
    </xf>
    <xf numFmtId="167" fontId="23" fillId="5" borderId="22" xfId="17" applyNumberFormat="1" applyFont="1" applyFill="1" applyBorder="1" applyAlignment="1">
      <alignment horizontal="left"/>
    </xf>
    <xf numFmtId="167" fontId="23" fillId="5" borderId="10" xfId="17" applyNumberFormat="1" applyFont="1" applyFill="1" applyBorder="1" applyAlignment="1">
      <alignment horizontal="left"/>
    </xf>
    <xf numFmtId="0" fontId="23" fillId="5" borderId="2" xfId="0" applyFont="1" applyFill="1" applyBorder="1" applyAlignment="1">
      <alignment horizontal="center" vertical="center" wrapText="1"/>
    </xf>
    <xf numFmtId="0" fontId="23" fillId="5" borderId="24" xfId="17" applyFont="1" applyFill="1" applyBorder="1" applyAlignment="1">
      <alignment horizontal="center" vertical="center" wrapText="1"/>
    </xf>
    <xf numFmtId="0" fontId="23" fillId="5" borderId="12" xfId="17" applyFont="1" applyFill="1" applyBorder="1" applyAlignment="1">
      <alignment horizontal="center" vertical="center" wrapText="1"/>
    </xf>
    <xf numFmtId="0" fontId="23" fillId="5" borderId="9" xfId="16" applyFont="1" applyFill="1" applyBorder="1" applyAlignment="1">
      <alignment horizontal="center" vertical="center" wrapText="1"/>
    </xf>
    <xf numFmtId="0" fontId="23" fillId="5" borderId="22" xfId="16" applyFont="1" applyFill="1" applyBorder="1" applyAlignment="1">
      <alignment horizontal="center" vertical="center" wrapText="1"/>
    </xf>
    <xf numFmtId="0" fontId="26" fillId="5" borderId="1" xfId="17" applyFont="1" applyFill="1" applyBorder="1" applyAlignment="1">
      <alignment horizontal="center" wrapText="1"/>
    </xf>
    <xf numFmtId="0" fontId="26" fillId="5" borderId="0" xfId="17" applyFont="1" applyFill="1" applyAlignment="1">
      <alignment horizontal="center" wrapText="1"/>
    </xf>
    <xf numFmtId="0" fontId="1" fillId="5" borderId="3" xfId="0" applyFont="1" applyFill="1" applyBorder="1" applyAlignment="1">
      <alignment wrapText="1"/>
    </xf>
    <xf numFmtId="0" fontId="19" fillId="5" borderId="3" xfId="17" applyFont="1" applyFill="1" applyBorder="1" applyAlignment="1">
      <alignment horizontal="left" wrapText="1"/>
    </xf>
    <xf numFmtId="0" fontId="19" fillId="5" borderId="1" xfId="0" applyFont="1" applyFill="1" applyBorder="1" applyAlignment="1">
      <alignment horizontal="left" wrapText="1"/>
    </xf>
    <xf numFmtId="0" fontId="19" fillId="5" borderId="0" xfId="0" applyFont="1" applyFill="1" applyAlignment="1">
      <alignment horizontal="left" wrapText="1"/>
    </xf>
    <xf numFmtId="0" fontId="19" fillId="5" borderId="1" xfId="17" applyFont="1" applyFill="1" applyBorder="1" applyAlignment="1">
      <alignment vertical="top" wrapText="1"/>
    </xf>
    <xf numFmtId="0" fontId="20" fillId="5" borderId="0" xfId="0" applyFont="1" applyFill="1" applyAlignment="1">
      <alignment vertical="top" wrapText="1"/>
    </xf>
    <xf numFmtId="0" fontId="20" fillId="5" borderId="1" xfId="0" applyFont="1" applyFill="1" applyBorder="1" applyAlignment="1">
      <alignment vertical="top" wrapText="1"/>
    </xf>
    <xf numFmtId="0" fontId="1" fillId="5" borderId="3" xfId="0" applyFont="1" applyFill="1" applyBorder="1" applyAlignment="1">
      <alignment vertical="top" wrapText="1"/>
    </xf>
    <xf numFmtId="0" fontId="19" fillId="5" borderId="2" xfId="0" applyFont="1" applyFill="1" applyBorder="1" applyAlignment="1">
      <alignment horizontal="left" vertical="top" wrapText="1"/>
    </xf>
    <xf numFmtId="0" fontId="19" fillId="5" borderId="0" xfId="0" applyFont="1" applyFill="1" applyAlignment="1">
      <alignment vertical="top" wrapText="1"/>
    </xf>
    <xf numFmtId="0" fontId="20" fillId="5" borderId="0" xfId="0" applyFont="1" applyFill="1" applyAlignment="1">
      <alignment vertical="top"/>
    </xf>
    <xf numFmtId="0" fontId="23" fillId="5" borderId="1" xfId="0" applyFont="1" applyFill="1" applyBorder="1" applyAlignment="1">
      <alignment horizontal="center" vertical="center" wrapText="1"/>
    </xf>
    <xf numFmtId="0" fontId="19" fillId="5" borderId="20" xfId="0" applyFont="1" applyFill="1" applyBorder="1" applyAlignment="1">
      <alignment horizontal="center" vertical="top" wrapText="1"/>
    </xf>
    <xf numFmtId="0" fontId="19" fillId="0" borderId="3" xfId="0" quotePrefix="1" applyFont="1" applyBorder="1" applyAlignment="1">
      <alignment horizontal="center" textRotation="90" wrapText="1"/>
    </xf>
    <xf numFmtId="0" fontId="19" fillId="0" borderId="6" xfId="0" quotePrefix="1" applyFont="1" applyBorder="1" applyAlignment="1">
      <alignment horizontal="center" textRotation="90" wrapText="1"/>
    </xf>
    <xf numFmtId="0" fontId="23" fillId="5" borderId="44" xfId="16" applyFont="1" applyFill="1" applyBorder="1" applyAlignment="1">
      <alignment horizontal="center" vertical="center" wrapText="1"/>
    </xf>
    <xf numFmtId="0" fontId="1" fillId="5" borderId="46" xfId="0" applyFont="1" applyFill="1" applyBorder="1" applyAlignment="1">
      <alignment horizontal="center" vertical="center" wrapText="1"/>
    </xf>
    <xf numFmtId="0" fontId="1" fillId="5" borderId="45" xfId="0" applyFont="1" applyFill="1" applyBorder="1" applyAlignment="1">
      <alignment horizontal="center" vertical="center" wrapText="1"/>
    </xf>
    <xf numFmtId="0" fontId="19" fillId="5" borderId="3" xfId="0" quotePrefix="1" applyFont="1" applyFill="1" applyBorder="1" applyAlignment="1">
      <alignment horizontal="left" vertical="top" wrapText="1"/>
    </xf>
    <xf numFmtId="0" fontId="19" fillId="5" borderId="2" xfId="0" applyFont="1" applyFill="1" applyBorder="1" applyAlignment="1">
      <alignment horizontal="center" wrapText="1"/>
    </xf>
    <xf numFmtId="0" fontId="43" fillId="0" borderId="3" xfId="17" applyFont="1" applyBorder="1" applyAlignment="1">
      <alignment horizontal="center" wrapText="1"/>
    </xf>
    <xf numFmtId="0" fontId="19" fillId="5" borderId="8" xfId="0" applyFont="1" applyFill="1" applyBorder="1" applyAlignment="1">
      <alignment horizontal="center" textRotation="90"/>
    </xf>
    <xf numFmtId="0" fontId="23" fillId="5" borderId="3" xfId="17" applyFont="1" applyFill="1" applyBorder="1" applyAlignment="1">
      <alignment horizontal="center" vertical="center" wrapText="1"/>
    </xf>
    <xf numFmtId="0" fontId="23" fillId="5" borderId="8" xfId="17" applyFont="1" applyFill="1" applyBorder="1" applyAlignment="1">
      <alignment horizontal="center" vertical="center" wrapText="1"/>
    </xf>
    <xf numFmtId="0" fontId="23" fillId="5" borderId="51" xfId="17" applyFont="1" applyFill="1" applyBorder="1" applyAlignment="1">
      <alignment horizontal="center" vertical="center" wrapText="1"/>
    </xf>
    <xf numFmtId="0" fontId="19" fillId="5" borderId="20" xfId="0" applyFont="1" applyFill="1" applyBorder="1" applyAlignment="1">
      <alignment horizontal="left" wrapText="1"/>
    </xf>
    <xf numFmtId="0" fontId="19" fillId="5" borderId="20" xfId="0" applyFont="1" applyFill="1" applyBorder="1" applyAlignment="1">
      <alignment horizontal="left" vertical="top" wrapText="1"/>
    </xf>
    <xf numFmtId="0" fontId="23" fillId="5" borderId="1" xfId="0" applyFont="1" applyFill="1" applyBorder="1" applyAlignment="1">
      <alignment horizontal="center" vertical="top" wrapText="1"/>
    </xf>
    <xf numFmtId="0" fontId="19" fillId="0" borderId="114" xfId="0" applyFont="1" applyBorder="1" applyAlignment="1">
      <alignment horizontal="left" vertical="top" wrapText="1"/>
    </xf>
    <xf numFmtId="0" fontId="23" fillId="0" borderId="2" xfId="17" applyFont="1" applyBorder="1" applyAlignment="1">
      <alignment horizontal="center" vertical="top" wrapText="1"/>
    </xf>
    <xf numFmtId="0" fontId="19" fillId="0" borderId="114" xfId="17" applyFont="1" applyBorder="1" applyAlignment="1">
      <alignment horizontal="left" vertical="top" wrapText="1"/>
    </xf>
    <xf numFmtId="0" fontId="19" fillId="0" borderId="3" xfId="0" applyFont="1" applyBorder="1" applyAlignment="1">
      <alignment vertical="top" wrapText="1"/>
    </xf>
    <xf numFmtId="0" fontId="19" fillId="5" borderId="3" xfId="0" applyFont="1" applyFill="1" applyBorder="1" applyAlignment="1">
      <alignment horizontal="left" vertical="center" wrapText="1"/>
    </xf>
    <xf numFmtId="0" fontId="19" fillId="0" borderId="6" xfId="0" applyFont="1" applyBorder="1" applyAlignment="1">
      <alignment horizontal="left" vertical="top" wrapText="1"/>
    </xf>
    <xf numFmtId="167" fontId="23" fillId="5" borderId="10" xfId="17" applyNumberFormat="1" applyFont="1" applyFill="1" applyBorder="1" applyAlignment="1">
      <alignment horizontal="left" wrapText="1"/>
    </xf>
    <xf numFmtId="0" fontId="23" fillId="5" borderId="9" xfId="17" applyFont="1" applyFill="1" applyBorder="1" applyAlignment="1">
      <alignment horizontal="center"/>
    </xf>
    <xf numFmtId="0" fontId="23" fillId="5" borderId="10" xfId="17" applyFont="1" applyFill="1" applyBorder="1" applyAlignment="1">
      <alignment horizontal="center"/>
    </xf>
    <xf numFmtId="0" fontId="19" fillId="5" borderId="2" xfId="17" applyFont="1" applyFill="1" applyBorder="1" applyAlignment="1">
      <alignment vertical="top" wrapText="1"/>
    </xf>
    <xf numFmtId="0" fontId="19" fillId="5" borderId="0" xfId="17" applyFont="1" applyFill="1" applyAlignment="1">
      <alignment horizontal="center" wrapText="1"/>
    </xf>
    <xf numFmtId="0" fontId="26" fillId="5" borderId="0" xfId="0" applyFont="1" applyFill="1" applyAlignment="1">
      <alignment horizontal="center" vertical="top" wrapText="1"/>
    </xf>
    <xf numFmtId="0" fontId="19" fillId="5" borderId="0" xfId="17" applyFont="1" applyFill="1" applyAlignment="1">
      <alignment vertical="top" wrapText="1"/>
    </xf>
    <xf numFmtId="0" fontId="23" fillId="5" borderId="9" xfId="17" applyFont="1" applyFill="1" applyBorder="1" applyAlignment="1">
      <alignment horizontal="center" vertical="center" textRotation="90" wrapText="1"/>
    </xf>
    <xf numFmtId="0" fontId="23" fillId="5" borderId="3" xfId="17" applyFont="1" applyFill="1" applyBorder="1" applyAlignment="1">
      <alignment horizontal="left" vertical="top" wrapText="1"/>
    </xf>
    <xf numFmtId="0" fontId="14" fillId="0" borderId="8" xfId="0" applyFont="1" applyBorder="1" applyAlignment="1">
      <alignment horizontal="center" textRotation="90" wrapText="1"/>
    </xf>
    <xf numFmtId="0" fontId="14" fillId="0" borderId="3" xfId="0" applyFont="1" applyBorder="1" applyAlignment="1">
      <alignment horizontal="center" textRotation="90" wrapText="1"/>
    </xf>
    <xf numFmtId="0" fontId="14" fillId="0" borderId="51" xfId="0" applyFont="1" applyBorder="1" applyAlignment="1">
      <alignment horizontal="center" textRotation="90" wrapText="1"/>
    </xf>
    <xf numFmtId="0" fontId="19" fillId="0" borderId="3" xfId="0" applyFont="1" applyBorder="1" applyAlignment="1">
      <alignment horizontal="center" textRotation="90" wrapText="1"/>
    </xf>
    <xf numFmtId="0" fontId="19" fillId="0" borderId="51" xfId="0" applyFont="1" applyBorder="1" applyAlignment="1">
      <alignment horizontal="center" textRotation="90" wrapText="1"/>
    </xf>
    <xf numFmtId="0" fontId="23" fillId="5" borderId="8" xfId="17" applyFont="1" applyFill="1" applyBorder="1" applyAlignment="1">
      <alignment horizontal="center" wrapText="1"/>
    </xf>
    <xf numFmtId="0" fontId="23" fillId="5" borderId="51" xfId="17" applyFont="1" applyFill="1" applyBorder="1" applyAlignment="1">
      <alignment horizontal="center" wrapText="1"/>
    </xf>
    <xf numFmtId="0" fontId="23" fillId="5" borderId="115" xfId="17" applyFont="1" applyFill="1" applyBorder="1" applyAlignment="1">
      <alignment horizontal="center" vertical="center" wrapText="1"/>
    </xf>
    <xf numFmtId="0" fontId="23" fillId="5" borderId="9" xfId="17" applyFont="1" applyFill="1" applyBorder="1" applyAlignment="1">
      <alignment horizontal="center" vertical="center" wrapText="1"/>
    </xf>
    <xf numFmtId="0" fontId="19" fillId="5" borderId="3" xfId="0" applyFont="1" applyFill="1" applyBorder="1" applyAlignment="1">
      <alignment horizontal="left" wrapText="1"/>
    </xf>
    <xf numFmtId="0" fontId="23" fillId="0" borderId="8" xfId="17" applyFont="1" applyBorder="1" applyAlignment="1">
      <alignment horizontal="center" vertical="top" wrapText="1"/>
    </xf>
    <xf numFmtId="0" fontId="23" fillId="0" borderId="3" xfId="17" applyFont="1" applyBorder="1" applyAlignment="1">
      <alignment horizontal="center" vertical="top" wrapText="1"/>
    </xf>
    <xf numFmtId="0" fontId="23" fillId="0" borderId="6" xfId="17" applyFont="1" applyBorder="1" applyAlignment="1">
      <alignment horizontal="center" vertical="top" wrapText="1"/>
    </xf>
    <xf numFmtId="0" fontId="23" fillId="0" borderId="10" xfId="17" applyFont="1" applyBorder="1" applyAlignment="1">
      <alignment horizontal="center" vertical="top" wrapText="1"/>
    </xf>
    <xf numFmtId="0" fontId="23" fillId="0" borderId="12" xfId="17" applyFont="1" applyBorder="1" applyAlignment="1">
      <alignment horizontal="center" vertical="top" wrapText="1"/>
    </xf>
    <xf numFmtId="0" fontId="19" fillId="0" borderId="105" xfId="0" applyFont="1" applyBorder="1" applyAlignment="1">
      <alignment horizontal="left" vertical="top" wrapText="1"/>
    </xf>
    <xf numFmtId="0" fontId="19" fillId="0" borderId="8" xfId="0" applyFont="1" applyBorder="1" applyAlignment="1">
      <alignment vertical="top" wrapText="1"/>
    </xf>
    <xf numFmtId="0" fontId="19" fillId="0" borderId="9" xfId="0" applyFont="1" applyBorder="1" applyAlignment="1">
      <alignment vertical="top" wrapText="1"/>
    </xf>
    <xf numFmtId="0" fontId="19" fillId="0" borderId="1" xfId="0" applyFont="1" applyBorder="1" applyAlignment="1">
      <alignment vertical="top" wrapText="1"/>
    </xf>
    <xf numFmtId="0" fontId="19" fillId="0" borderId="10" xfId="0" applyFont="1" applyBorder="1" applyAlignment="1">
      <alignment horizontal="left" vertical="top" wrapText="1"/>
    </xf>
    <xf numFmtId="0" fontId="19" fillId="0" borderId="110" xfId="17" applyFont="1" applyBorder="1" applyAlignment="1">
      <alignment horizontal="center" vertical="center" wrapText="1"/>
    </xf>
    <xf numFmtId="0" fontId="19" fillId="0" borderId="0" xfId="0" applyFont="1" applyAlignment="1">
      <alignment vertical="top" wrapText="1"/>
    </xf>
    <xf numFmtId="0" fontId="50" fillId="0" borderId="112" xfId="0" applyFont="1" applyBorder="1" applyAlignment="1">
      <alignment vertical="top" wrapText="1"/>
    </xf>
    <xf numFmtId="0" fontId="19" fillId="0" borderId="22" xfId="0" applyFont="1" applyBorder="1" applyAlignment="1">
      <alignment horizontal="left" vertical="top" wrapText="1"/>
    </xf>
    <xf numFmtId="0" fontId="19" fillId="5" borderId="8" xfId="10" applyFont="1" applyFill="1" applyBorder="1" applyAlignment="1">
      <alignment horizontal="left" textRotation="90" wrapText="1"/>
    </xf>
    <xf numFmtId="0" fontId="19" fillId="5" borderId="3" xfId="10" applyFont="1" applyFill="1" applyBorder="1" applyAlignment="1">
      <alignment horizontal="left" textRotation="90" wrapText="1"/>
    </xf>
    <xf numFmtId="0" fontId="19" fillId="5" borderId="51" xfId="10" applyFont="1" applyFill="1" applyBorder="1" applyAlignment="1">
      <alignment horizontal="left" textRotation="90" wrapText="1"/>
    </xf>
    <xf numFmtId="0" fontId="19" fillId="5" borderId="0" xfId="10" applyFont="1" applyFill="1" applyAlignment="1">
      <alignment horizontal="left" vertical="top" wrapText="1"/>
    </xf>
    <xf numFmtId="0" fontId="20" fillId="5" borderId="0" xfId="0" applyFont="1" applyFill="1" applyAlignment="1">
      <alignment horizontal="left" vertical="top" wrapText="1"/>
    </xf>
    <xf numFmtId="0" fontId="20" fillId="5" borderId="2" xfId="0" applyFont="1" applyFill="1" applyBorder="1" applyAlignment="1">
      <alignment horizontal="left" vertical="top" wrapText="1"/>
    </xf>
    <xf numFmtId="0" fontId="19" fillId="5" borderId="4" xfId="10" applyFont="1" applyFill="1" applyBorder="1" applyAlignment="1">
      <alignment horizontal="left" textRotation="90" wrapText="1"/>
    </xf>
    <xf numFmtId="0" fontId="20" fillId="5" borderId="4" xfId="10" applyFont="1" applyFill="1" applyBorder="1" applyAlignment="1">
      <alignment horizontal="left"/>
    </xf>
    <xf numFmtId="0" fontId="20" fillId="5" borderId="18" xfId="10" applyFont="1" applyFill="1" applyBorder="1" applyAlignment="1">
      <alignment horizontal="left"/>
    </xf>
    <xf numFmtId="0" fontId="20" fillId="5" borderId="3" xfId="10" applyFont="1" applyFill="1" applyBorder="1" applyAlignment="1">
      <alignment horizontal="left" vertical="top" wrapText="1"/>
    </xf>
    <xf numFmtId="0" fontId="19" fillId="0" borderId="3" xfId="17" applyFont="1" applyBorder="1" applyAlignment="1">
      <alignment horizontal="center" wrapText="1"/>
    </xf>
    <xf numFmtId="0" fontId="19" fillId="0" borderId="6" xfId="17" applyFont="1" applyBorder="1" applyAlignment="1">
      <alignment horizontal="center" wrapText="1"/>
    </xf>
    <xf numFmtId="0" fontId="20" fillId="0" borderId="3" xfId="10" applyFont="1" applyBorder="1" applyAlignment="1">
      <alignment horizontal="center" vertical="top" wrapText="1"/>
    </xf>
    <xf numFmtId="0" fontId="19" fillId="5" borderId="5" xfId="10" applyFont="1" applyFill="1" applyBorder="1" applyAlignment="1">
      <alignment horizontal="left" textRotation="90" wrapText="1"/>
    </xf>
    <xf numFmtId="0" fontId="20" fillId="5" borderId="5" xfId="10" applyFont="1" applyFill="1" applyBorder="1" applyAlignment="1">
      <alignment horizontal="left"/>
    </xf>
    <xf numFmtId="0" fontId="20" fillId="5" borderId="45" xfId="10" applyFont="1" applyFill="1" applyBorder="1" applyAlignment="1">
      <alignment horizontal="left"/>
    </xf>
    <xf numFmtId="1" fontId="19" fillId="5" borderId="1" xfId="3" applyNumberFormat="1" applyFont="1" applyFill="1" applyBorder="1" applyAlignment="1">
      <alignment horizontal="left" vertical="top" wrapText="1"/>
    </xf>
    <xf numFmtId="1" fontId="19" fillId="5" borderId="2" xfId="3" applyNumberFormat="1" applyFont="1" applyFill="1" applyBorder="1" applyAlignment="1">
      <alignment horizontal="left" vertical="top" wrapText="1"/>
    </xf>
    <xf numFmtId="1" fontId="23" fillId="5" borderId="3" xfId="3" applyNumberFormat="1" applyFont="1" applyFill="1" applyBorder="1" applyAlignment="1">
      <alignment horizontal="center" wrapText="1"/>
    </xf>
    <xf numFmtId="1" fontId="23" fillId="5" borderId="51" xfId="3" applyNumberFormat="1" applyFont="1" applyFill="1" applyBorder="1" applyAlignment="1">
      <alignment horizontal="center" wrapText="1"/>
    </xf>
    <xf numFmtId="1" fontId="19" fillId="5" borderId="3" xfId="3" applyNumberFormat="1" applyFont="1" applyFill="1" applyBorder="1" applyAlignment="1">
      <alignment horizontal="left" vertical="top" wrapText="1"/>
    </xf>
    <xf numFmtId="0" fontId="19" fillId="5" borderId="0" xfId="10" applyFont="1" applyFill="1" applyAlignment="1">
      <alignment horizontal="center" vertical="center" wrapText="1"/>
    </xf>
    <xf numFmtId="0" fontId="1" fillId="5" borderId="0" xfId="0" applyFont="1" applyFill="1" applyAlignment="1">
      <alignment horizontal="center" vertical="center" wrapText="1"/>
    </xf>
    <xf numFmtId="0" fontId="1" fillId="5" borderId="2" xfId="0" applyFont="1" applyFill="1" applyBorder="1" applyAlignment="1">
      <alignment horizontal="center" vertical="center" wrapText="1"/>
    </xf>
    <xf numFmtId="0" fontId="23" fillId="5" borderId="0" xfId="10" applyFont="1" applyFill="1" applyAlignment="1">
      <alignment horizontal="center" vertical="center" wrapText="1"/>
    </xf>
    <xf numFmtId="0" fontId="23" fillId="5" borderId="2" xfId="10" applyFont="1" applyFill="1" applyBorder="1" applyAlignment="1">
      <alignment horizontal="center" vertical="center" wrapText="1"/>
    </xf>
    <xf numFmtId="0" fontId="23" fillId="5" borderId="24" xfId="10" applyFont="1" applyFill="1" applyBorder="1" applyAlignment="1">
      <alignment horizontal="center" vertical="center" wrapText="1"/>
    </xf>
    <xf numFmtId="0" fontId="23" fillId="5" borderId="12" xfId="10" applyFont="1" applyFill="1" applyBorder="1" applyAlignment="1">
      <alignment horizontal="center" vertical="center" wrapText="1"/>
    </xf>
    <xf numFmtId="0" fontId="19" fillId="5" borderId="23" xfId="17" applyFont="1" applyFill="1" applyBorder="1" applyAlignment="1">
      <alignment horizontal="center"/>
    </xf>
    <xf numFmtId="0" fontId="19" fillId="5" borderId="12" xfId="17" applyFont="1" applyFill="1" applyBorder="1" applyAlignment="1">
      <alignment horizontal="center"/>
    </xf>
    <xf numFmtId="0" fontId="19" fillId="0" borderId="3" xfId="10" applyFont="1" applyBorder="1" applyAlignment="1">
      <alignment horizontal="left" vertical="top" wrapText="1"/>
    </xf>
    <xf numFmtId="0" fontId="23" fillId="5" borderId="20" xfId="17" applyFont="1" applyFill="1" applyBorder="1" applyAlignment="1">
      <alignment horizontal="center" textRotation="90"/>
    </xf>
    <xf numFmtId="0" fontId="19" fillId="5" borderId="20" xfId="17" applyFont="1" applyFill="1" applyBorder="1" applyAlignment="1">
      <alignment horizontal="center" textRotation="90"/>
    </xf>
    <xf numFmtId="0" fontId="19" fillId="5" borderId="85" xfId="17" applyFont="1" applyFill="1" applyBorder="1" applyAlignment="1">
      <alignment horizontal="center" textRotation="90"/>
    </xf>
    <xf numFmtId="0" fontId="19" fillId="5" borderId="3" xfId="17" applyFont="1" applyFill="1" applyBorder="1" applyAlignment="1">
      <alignment horizontal="left" vertical="top"/>
    </xf>
    <xf numFmtId="0" fontId="19" fillId="5" borderId="6" xfId="17" applyFont="1" applyFill="1" applyBorder="1" applyAlignment="1">
      <alignment horizontal="left" vertical="top"/>
    </xf>
    <xf numFmtId="0" fontId="20" fillId="0" borderId="3" xfId="17" applyFont="1" applyBorder="1" applyAlignment="1">
      <alignment horizontal="center"/>
    </xf>
    <xf numFmtId="0" fontId="20" fillId="0" borderId="6" xfId="17" applyFont="1" applyBorder="1" applyAlignment="1">
      <alignment horizontal="center"/>
    </xf>
    <xf numFmtId="1" fontId="19" fillId="5" borderId="6" xfId="3" applyNumberFormat="1" applyFont="1" applyFill="1" applyBorder="1" applyAlignment="1">
      <alignment horizontal="left" vertical="top" wrapText="1"/>
    </xf>
    <xf numFmtId="167" fontId="23" fillId="5" borderId="9" xfId="17" applyNumberFormat="1" applyFont="1" applyFill="1" applyBorder="1" applyAlignment="1">
      <alignment horizontal="center"/>
    </xf>
    <xf numFmtId="167" fontId="23" fillId="5" borderId="22" xfId="17" applyNumberFormat="1" applyFont="1" applyFill="1" applyBorder="1" applyAlignment="1">
      <alignment horizontal="center"/>
    </xf>
    <xf numFmtId="0" fontId="19" fillId="0" borderId="3" xfId="17" applyFont="1" applyBorder="1" applyAlignment="1">
      <alignment horizontal="center" vertical="top" wrapText="1"/>
    </xf>
    <xf numFmtId="0" fontId="19" fillId="0" borderId="6" xfId="17" applyFont="1" applyBorder="1" applyAlignment="1">
      <alignment horizontal="center" vertical="top" wrapText="1"/>
    </xf>
    <xf numFmtId="0" fontId="20" fillId="0" borderId="1" xfId="17" applyFont="1" applyBorder="1" applyAlignment="1">
      <alignment horizontal="center"/>
    </xf>
    <xf numFmtId="0" fontId="19" fillId="5" borderId="48" xfId="17" applyFont="1" applyFill="1" applyBorder="1" applyAlignment="1">
      <alignment horizontal="left" vertical="top" wrapText="1"/>
    </xf>
    <xf numFmtId="0" fontId="19" fillId="0" borderId="3" xfId="10" applyFont="1" applyBorder="1" applyAlignment="1">
      <alignment horizontal="left" wrapText="1"/>
    </xf>
    <xf numFmtId="0" fontId="19" fillId="0" borderId="48" xfId="17" applyFont="1" applyBorder="1" applyAlignment="1">
      <alignment horizontal="left" vertical="top" wrapText="1"/>
    </xf>
    <xf numFmtId="0" fontId="19" fillId="0" borderId="3" xfId="10" applyFont="1" applyBorder="1" applyAlignment="1">
      <alignment horizontal="center" wrapText="1"/>
    </xf>
    <xf numFmtId="0" fontId="23" fillId="0" borderId="51" xfId="17" applyFont="1" applyBorder="1" applyAlignment="1">
      <alignment horizontal="center" vertical="top" wrapText="1"/>
    </xf>
    <xf numFmtId="0" fontId="23" fillId="0" borderId="44" xfId="17" applyFont="1" applyBorder="1" applyAlignment="1">
      <alignment horizontal="center"/>
    </xf>
    <xf numFmtId="0" fontId="23" fillId="0" borderId="45" xfId="17" applyFont="1" applyBorder="1" applyAlignment="1">
      <alignment horizontal="center"/>
    </xf>
    <xf numFmtId="0" fontId="23" fillId="0" borderId="22" xfId="17" applyFont="1" applyBorder="1" applyAlignment="1">
      <alignment horizontal="center" wrapText="1"/>
    </xf>
    <xf numFmtId="0" fontId="20" fillId="0" borderId="22" xfId="10" applyFont="1" applyBorder="1" applyAlignment="1">
      <alignment wrapText="1"/>
    </xf>
    <xf numFmtId="0" fontId="20" fillId="0" borderId="10" xfId="10" applyFont="1" applyBorder="1" applyAlignment="1">
      <alignment wrapText="1"/>
    </xf>
    <xf numFmtId="0" fontId="20" fillId="0" borderId="54" xfId="10" applyFont="1" applyBorder="1" applyAlignment="1">
      <alignment wrapText="1"/>
    </xf>
    <xf numFmtId="0" fontId="20" fillId="0" borderId="53" xfId="10" applyFont="1" applyBorder="1" applyAlignment="1">
      <alignment wrapText="1"/>
    </xf>
    <xf numFmtId="0" fontId="23" fillId="0" borderId="9" xfId="17" applyFont="1" applyBorder="1" applyAlignment="1">
      <alignment horizontal="center" wrapText="1"/>
    </xf>
    <xf numFmtId="0" fontId="20" fillId="0" borderId="52" xfId="10" applyFont="1" applyBorder="1" applyAlignment="1">
      <alignment wrapText="1"/>
    </xf>
    <xf numFmtId="0" fontId="19" fillId="0" borderId="3" xfId="17" applyFont="1" applyBorder="1" applyAlignment="1">
      <alignment horizontal="left" vertical="center" wrapText="1"/>
    </xf>
    <xf numFmtId="167" fontId="19" fillId="0" borderId="9" xfId="17" applyNumberFormat="1" applyFont="1" applyBorder="1" applyAlignment="1">
      <alignment horizontal="left"/>
    </xf>
    <xf numFmtId="0" fontId="23" fillId="0" borderId="1" xfId="17" applyFont="1" applyBorder="1" applyAlignment="1">
      <alignment horizontal="left" vertical="top" wrapText="1"/>
    </xf>
    <xf numFmtId="0" fontId="23" fillId="0" borderId="0" xfId="17" applyFont="1" applyAlignment="1">
      <alignment horizontal="left" vertical="top" wrapText="1"/>
    </xf>
    <xf numFmtId="0" fontId="23" fillId="0" borderId="2" xfId="17" applyFont="1" applyBorder="1" applyAlignment="1">
      <alignment horizontal="left" vertical="top" wrapText="1"/>
    </xf>
    <xf numFmtId="0" fontId="19" fillId="0" borderId="1" xfId="10" applyFont="1" applyBorder="1" applyAlignment="1">
      <alignment horizontal="left" vertical="top" wrapText="1"/>
    </xf>
    <xf numFmtId="0" fontId="20" fillId="0" borderId="0" xfId="10" applyFont="1" applyAlignment="1">
      <alignment horizontal="left" vertical="top" wrapText="1"/>
    </xf>
    <xf numFmtId="0" fontId="20" fillId="0" borderId="2" xfId="10" applyFont="1" applyBorder="1" applyAlignment="1">
      <alignment horizontal="left" vertical="top" wrapText="1"/>
    </xf>
    <xf numFmtId="0" fontId="20" fillId="0" borderId="1" xfId="10" applyFont="1" applyBorder="1" applyAlignment="1">
      <alignment horizontal="left" vertical="top" wrapText="1"/>
    </xf>
    <xf numFmtId="0" fontId="20" fillId="0" borderId="1" xfId="0" applyFont="1" applyBorder="1" applyAlignment="1">
      <alignment wrapText="1"/>
    </xf>
    <xf numFmtId="0" fontId="20" fillId="0" borderId="0" xfId="0" applyFont="1" applyAlignment="1">
      <alignment wrapText="1"/>
    </xf>
    <xf numFmtId="0" fontId="20" fillId="0" borderId="2" xfId="0" applyFont="1" applyBorder="1" applyAlignment="1">
      <alignment wrapText="1"/>
    </xf>
    <xf numFmtId="0" fontId="19" fillId="0" borderId="0" xfId="17" applyFont="1" applyAlignment="1">
      <alignment horizontal="left" wrapText="1"/>
    </xf>
    <xf numFmtId="0" fontId="19" fillId="0" borderId="2" xfId="17" applyFont="1" applyBorder="1" applyAlignment="1">
      <alignment horizontal="left" wrapText="1"/>
    </xf>
    <xf numFmtId="0" fontId="23" fillId="0" borderId="9" xfId="17" applyFont="1" applyBorder="1" applyAlignment="1">
      <alignment horizontal="center" vertical="center" textRotation="90" wrapText="1"/>
    </xf>
    <xf numFmtId="0" fontId="23" fillId="0" borderId="1" xfId="17" applyFont="1" applyBorder="1" applyAlignment="1">
      <alignment horizontal="center" vertical="center" textRotation="90" wrapText="1"/>
    </xf>
    <xf numFmtId="0" fontId="23" fillId="0" borderId="52" xfId="17" applyFont="1" applyBorder="1" applyAlignment="1">
      <alignment horizontal="center" vertical="center" textRotation="90" wrapText="1"/>
    </xf>
    <xf numFmtId="0" fontId="19" fillId="0" borderId="2" xfId="10" applyFont="1" applyBorder="1" applyAlignment="1">
      <alignment horizontal="left" vertical="top" wrapText="1"/>
    </xf>
    <xf numFmtId="0" fontId="23" fillId="0" borderId="16" xfId="17" applyFont="1" applyBorder="1" applyAlignment="1">
      <alignment horizontal="center" vertical="center" textRotation="90" wrapText="1"/>
    </xf>
    <xf numFmtId="0" fontId="23" fillId="0" borderId="43" xfId="17" applyFont="1" applyBorder="1" applyAlignment="1">
      <alignment horizontal="center" vertical="center" textRotation="90" wrapText="1"/>
    </xf>
    <xf numFmtId="0" fontId="23" fillId="0" borderId="68" xfId="17" applyFont="1" applyBorder="1" applyAlignment="1">
      <alignment horizontal="center" vertical="center" textRotation="90" wrapText="1"/>
    </xf>
    <xf numFmtId="0" fontId="10" fillId="0" borderId="52" xfId="10" applyFont="1" applyBorder="1" applyAlignment="1">
      <alignment horizontal="center" wrapText="1"/>
    </xf>
    <xf numFmtId="0" fontId="10" fillId="0" borderId="53" xfId="10" applyFont="1" applyBorder="1" applyAlignment="1">
      <alignment horizontal="center" wrapText="1"/>
    </xf>
    <xf numFmtId="0" fontId="19" fillId="0" borderId="3" xfId="17" applyFont="1" applyBorder="1" applyAlignment="1">
      <alignment vertical="top" wrapText="1"/>
    </xf>
    <xf numFmtId="0" fontId="20" fillId="0" borderId="3" xfId="10" applyFont="1" applyBorder="1" applyAlignment="1">
      <alignment wrapText="1"/>
    </xf>
    <xf numFmtId="0" fontId="20" fillId="0" borderId="3" xfId="0" applyFont="1" applyBorder="1" applyAlignment="1">
      <alignment vertical="top" wrapText="1"/>
    </xf>
    <xf numFmtId="1" fontId="19" fillId="0" borderId="110" xfId="3" applyNumberFormat="1" applyFont="1" applyFill="1" applyBorder="1" applyAlignment="1">
      <alignment horizontal="left" vertical="top" wrapText="1"/>
    </xf>
    <xf numFmtId="0" fontId="19" fillId="0" borderId="110" xfId="17" applyFont="1" applyBorder="1" applyAlignment="1">
      <alignment horizontal="left" vertical="top" wrapText="1"/>
    </xf>
    <xf numFmtId="0" fontId="19" fillId="0" borderId="3" xfId="17" applyFont="1" applyBorder="1" applyAlignment="1">
      <alignment horizontal="left" wrapText="1"/>
    </xf>
    <xf numFmtId="0" fontId="23" fillId="0" borderId="10" xfId="17" applyFont="1" applyBorder="1" applyAlignment="1">
      <alignment horizontal="center" wrapText="1"/>
    </xf>
    <xf numFmtId="0" fontId="23" fillId="0" borderId="52" xfId="17" applyFont="1" applyBorder="1" applyAlignment="1">
      <alignment horizontal="center" wrapText="1"/>
    </xf>
    <xf numFmtId="0" fontId="23" fillId="0" borderId="53" xfId="17" applyFont="1" applyBorder="1" applyAlignment="1">
      <alignment horizontal="center" wrapText="1"/>
    </xf>
    <xf numFmtId="167" fontId="19" fillId="0" borderId="22" xfId="17" applyNumberFormat="1" applyFont="1" applyBorder="1" applyAlignment="1">
      <alignment horizontal="left"/>
    </xf>
    <xf numFmtId="0" fontId="19" fillId="0" borderId="1" xfId="17" applyFont="1" applyBorder="1" applyAlignment="1">
      <alignment horizontal="left"/>
    </xf>
    <xf numFmtId="0" fontId="19" fillId="0" borderId="2" xfId="17" applyFont="1" applyBorder="1" applyAlignment="1">
      <alignment horizontal="left"/>
    </xf>
    <xf numFmtId="167" fontId="19" fillId="0" borderId="10" xfId="17" applyNumberFormat="1" applyFont="1" applyBorder="1" applyAlignment="1">
      <alignment horizontal="left"/>
    </xf>
    <xf numFmtId="0" fontId="19" fillId="0" borderId="1" xfId="10" applyFont="1" applyBorder="1" applyAlignment="1">
      <alignment vertical="top" wrapText="1"/>
    </xf>
    <xf numFmtId="0" fontId="19" fillId="0" borderId="0" xfId="10" applyFont="1" applyAlignment="1">
      <alignment vertical="top" wrapText="1"/>
    </xf>
    <xf numFmtId="0" fontId="19" fillId="0" borderId="2" xfId="10" applyFont="1" applyBorder="1" applyAlignment="1">
      <alignment vertical="top" wrapText="1"/>
    </xf>
    <xf numFmtId="0" fontId="23" fillId="0" borderId="8" xfId="17" applyFont="1" applyBorder="1" applyAlignment="1">
      <alignment horizontal="center" vertical="center" textRotation="90" wrapText="1"/>
    </xf>
    <xf numFmtId="0" fontId="23" fillId="0" borderId="3" xfId="17" applyFont="1" applyBorder="1" applyAlignment="1">
      <alignment horizontal="center" vertical="center" textRotation="90" wrapText="1"/>
    </xf>
    <xf numFmtId="0" fontId="23" fillId="0" borderId="6" xfId="17" applyFont="1" applyBorder="1" applyAlignment="1">
      <alignment horizontal="center" vertical="center" textRotation="90" wrapText="1"/>
    </xf>
    <xf numFmtId="0" fontId="1" fillId="0" borderId="3" xfId="0" applyFont="1" applyBorder="1" applyAlignment="1">
      <alignment horizontal="center" vertical="top" wrapText="1"/>
    </xf>
    <xf numFmtId="0" fontId="1" fillId="0" borderId="51" xfId="0" applyFont="1" applyBorder="1" applyAlignment="1">
      <alignment horizontal="center" vertical="top" wrapText="1"/>
    </xf>
    <xf numFmtId="0" fontId="23" fillId="0" borderId="54" xfId="17" applyFont="1" applyBorder="1" applyAlignment="1">
      <alignment horizontal="center" wrapText="1"/>
    </xf>
    <xf numFmtId="0" fontId="19" fillId="0" borderId="1" xfId="17" applyFont="1" applyBorder="1" applyAlignment="1">
      <alignment horizontal="left" wrapText="1"/>
    </xf>
    <xf numFmtId="0" fontId="8" fillId="0" borderId="8" xfId="0" applyFont="1" applyBorder="1" applyAlignment="1">
      <alignment horizontal="left" vertical="top" wrapText="1"/>
    </xf>
    <xf numFmtId="0" fontId="8" fillId="0" borderId="3" xfId="0" applyFont="1" applyBorder="1" applyAlignment="1">
      <alignment horizontal="left" vertical="top" wrapText="1"/>
    </xf>
    <xf numFmtId="0" fontId="8" fillId="0" borderId="22" xfId="0" applyFont="1" applyBorder="1" applyAlignment="1">
      <alignment horizontal="left" vertical="top" wrapText="1"/>
    </xf>
    <xf numFmtId="0" fontId="8" fillId="0" borderId="0" xfId="0" applyFont="1" applyAlignment="1">
      <alignment horizontal="left" vertical="top" wrapText="1"/>
    </xf>
    <xf numFmtId="0" fontId="19" fillId="0" borderId="8" xfId="0" applyFont="1" applyBorder="1" applyAlignment="1">
      <alignment horizontal="left" vertical="top" wrapText="1"/>
    </xf>
    <xf numFmtId="0" fontId="19" fillId="0" borderId="9" xfId="0" applyFont="1" applyBorder="1" applyAlignment="1">
      <alignment horizontal="left" vertical="top" wrapText="1"/>
    </xf>
    <xf numFmtId="0" fontId="7" fillId="0" borderId="16" xfId="17" applyFont="1" applyBorder="1" applyAlignment="1">
      <alignment horizontal="center" vertical="center" textRotation="90" wrapText="1"/>
    </xf>
    <xf numFmtId="0" fontId="7" fillId="0" borderId="43" xfId="17" applyFont="1" applyBorder="1" applyAlignment="1">
      <alignment horizontal="center" vertical="center" textRotation="90" wrapText="1"/>
    </xf>
    <xf numFmtId="0" fontId="7" fillId="0" borderId="68" xfId="17" applyFont="1" applyBorder="1" applyAlignment="1">
      <alignment horizontal="center" vertical="center" textRotation="90" wrapText="1"/>
    </xf>
    <xf numFmtId="0" fontId="19" fillId="0" borderId="38" xfId="17" applyFont="1" applyBorder="1" applyAlignment="1">
      <alignment horizontal="left" vertical="top" wrapText="1"/>
    </xf>
    <xf numFmtId="0" fontId="19" fillId="0" borderId="20" xfId="17" applyFont="1" applyBorder="1" applyAlignment="1">
      <alignment horizontal="left" vertical="top" wrapText="1"/>
    </xf>
    <xf numFmtId="0" fontId="8" fillId="0" borderId="37" xfId="0" applyFont="1" applyBorder="1" applyAlignment="1">
      <alignment horizontal="center"/>
    </xf>
    <xf numFmtId="0" fontId="8" fillId="0" borderId="5" xfId="0" applyFont="1" applyBorder="1" applyAlignment="1">
      <alignment horizontal="center"/>
    </xf>
    <xf numFmtId="0" fontId="23" fillId="0" borderId="18" xfId="0" applyFont="1" applyBorder="1" applyAlignment="1">
      <alignment horizontal="center" vertical="top" wrapText="1"/>
    </xf>
    <xf numFmtId="0" fontId="8" fillId="0" borderId="44" xfId="0" applyFont="1" applyBorder="1" applyAlignment="1">
      <alignment horizontal="center"/>
    </xf>
    <xf numFmtId="0" fontId="8" fillId="0" borderId="45" xfId="0" applyFont="1" applyBorder="1" applyAlignment="1">
      <alignment horizontal="center"/>
    </xf>
    <xf numFmtId="0" fontId="8" fillId="0" borderId="23" xfId="0" applyFont="1" applyBorder="1" applyAlignment="1">
      <alignment horizontal="center"/>
    </xf>
    <xf numFmtId="0" fontId="8" fillId="0" borderId="12" xfId="0" applyFont="1" applyBorder="1" applyAlignment="1">
      <alignment horizontal="center"/>
    </xf>
    <xf numFmtId="0" fontId="8" fillId="0" borderId="39" xfId="0" applyFont="1" applyBorder="1" applyAlignment="1">
      <alignment horizontal="center"/>
    </xf>
    <xf numFmtId="0" fontId="8" fillId="0" borderId="11"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9" fillId="0" borderId="3" xfId="0" applyFont="1" applyBorder="1" applyAlignment="1">
      <alignment horizontal="left" vertical="center" wrapText="1"/>
    </xf>
    <xf numFmtId="0" fontId="19" fillId="0" borderId="9" xfId="0" applyFont="1" applyBorder="1" applyAlignment="1">
      <alignment horizontal="center" vertical="top" wrapText="1"/>
    </xf>
    <xf numFmtId="0" fontId="19" fillId="0" borderId="10" xfId="0" applyFont="1" applyBorder="1" applyAlignment="1">
      <alignment horizontal="center" vertical="top" wrapText="1"/>
    </xf>
    <xf numFmtId="0" fontId="19" fillId="0" borderId="1" xfId="0" applyFont="1" applyBorder="1" applyAlignment="1">
      <alignment horizontal="center" vertical="top" wrapText="1"/>
    </xf>
    <xf numFmtId="0" fontId="19" fillId="0" borderId="2" xfId="0" applyFont="1" applyBorder="1" applyAlignment="1">
      <alignment horizontal="center" vertical="top" wrapText="1"/>
    </xf>
    <xf numFmtId="0" fontId="19" fillId="0" borderId="23" xfId="0" applyFont="1" applyBorder="1" applyAlignment="1">
      <alignment horizontal="center" vertical="top" wrapText="1"/>
    </xf>
    <xf numFmtId="0" fontId="19" fillId="0" borderId="12" xfId="0" applyFont="1" applyBorder="1" applyAlignment="1">
      <alignment horizontal="center" vertical="top" wrapText="1"/>
    </xf>
    <xf numFmtId="0" fontId="32" fillId="0" borderId="8" xfId="0" applyFont="1" applyBorder="1" applyAlignment="1">
      <alignment horizontal="left" vertical="top" wrapText="1"/>
    </xf>
    <xf numFmtId="0" fontId="32" fillId="0" borderId="3" xfId="0" applyFont="1" applyBorder="1" applyAlignment="1">
      <alignment horizontal="left" vertical="top" wrapText="1"/>
    </xf>
    <xf numFmtId="0" fontId="19" fillId="0" borderId="24" xfId="0" applyFont="1" applyBorder="1" applyAlignment="1">
      <alignment horizontal="left" vertical="top" wrapText="1"/>
    </xf>
    <xf numFmtId="0" fontId="19" fillId="0" borderId="12" xfId="0" applyFont="1" applyBorder="1" applyAlignment="1">
      <alignment horizontal="left" vertical="top" wrapText="1"/>
    </xf>
    <xf numFmtId="0" fontId="32" fillId="0" borderId="8" xfId="0" applyFont="1" applyBorder="1" applyAlignment="1">
      <alignment vertical="top" wrapText="1"/>
    </xf>
    <xf numFmtId="0" fontId="32" fillId="0" borderId="3" xfId="0" applyFont="1" applyBorder="1" applyAlignment="1">
      <alignment vertical="top" wrapText="1"/>
    </xf>
    <xf numFmtId="0" fontId="23" fillId="0" borderId="20" xfId="17" applyFont="1" applyBorder="1" applyAlignment="1">
      <alignment horizontal="center" vertical="center" textRotation="90" wrapText="1"/>
    </xf>
    <xf numFmtId="0" fontId="23" fillId="0" borderId="85" xfId="17" applyFont="1" applyBorder="1" applyAlignment="1">
      <alignment horizontal="center" vertical="center" textRotation="90" wrapText="1"/>
    </xf>
    <xf numFmtId="0" fontId="19" fillId="0" borderId="8" xfId="0" applyFont="1" applyBorder="1" applyAlignment="1">
      <alignment horizontal="center" vertical="top" wrapText="1"/>
    </xf>
    <xf numFmtId="0" fontId="19" fillId="0" borderId="3" xfId="0" applyFont="1" applyBorder="1" applyAlignment="1">
      <alignment horizontal="center" vertical="top" wrapText="1"/>
    </xf>
    <xf numFmtId="167" fontId="13" fillId="0" borderId="37" xfId="17" applyNumberFormat="1" applyFont="1" applyBorder="1" applyAlignment="1">
      <alignment horizontal="left" vertical="top"/>
    </xf>
    <xf numFmtId="167" fontId="13" fillId="0" borderId="36" xfId="17" applyNumberFormat="1" applyFont="1" applyBorder="1" applyAlignment="1">
      <alignment horizontal="left" vertical="top"/>
    </xf>
    <xf numFmtId="0" fontId="23" fillId="0" borderId="23" xfId="0" applyFont="1" applyBorder="1" applyAlignment="1">
      <alignment horizontal="center" vertical="top" wrapText="1"/>
    </xf>
    <xf numFmtId="0" fontId="23" fillId="0" borderId="24" xfId="0" applyFont="1" applyBorder="1" applyAlignment="1">
      <alignment horizontal="center" vertical="top" wrapText="1"/>
    </xf>
    <xf numFmtId="0" fontId="23" fillId="0" borderId="12" xfId="0" applyFont="1" applyBorder="1" applyAlignment="1">
      <alignment horizontal="center" vertical="top" wrapText="1"/>
    </xf>
    <xf numFmtId="0" fontId="19" fillId="0" borderId="39" xfId="0" applyFont="1" applyBorder="1" applyAlignment="1">
      <alignment horizontal="center" vertical="top" wrapText="1"/>
    </xf>
    <xf numFmtId="0" fontId="19" fillId="0" borderId="11" xfId="0" applyFont="1" applyBorder="1" applyAlignment="1">
      <alignment horizontal="center" vertical="top" wrapText="1"/>
    </xf>
    <xf numFmtId="0" fontId="19" fillId="0" borderId="37" xfId="0" applyFont="1" applyBorder="1" applyAlignment="1">
      <alignment horizontal="center" vertical="top" wrapText="1"/>
    </xf>
    <xf numFmtId="0" fontId="19" fillId="0" borderId="5" xfId="0" applyFont="1" applyBorder="1" applyAlignment="1">
      <alignment horizontal="center" vertical="top" wrapText="1"/>
    </xf>
    <xf numFmtId="0" fontId="23" fillId="0" borderId="44" xfId="0" applyFont="1" applyBorder="1" applyAlignment="1">
      <alignment horizontal="center" vertical="top" wrapText="1"/>
    </xf>
    <xf numFmtId="0" fontId="23" fillId="0" borderId="45" xfId="0" applyFont="1" applyBorder="1" applyAlignment="1">
      <alignment horizontal="center" vertical="top" wrapText="1"/>
    </xf>
    <xf numFmtId="0" fontId="23" fillId="0" borderId="96" xfId="0" applyFont="1" applyBorder="1" applyAlignment="1">
      <alignment horizontal="center" vertical="top" wrapText="1"/>
    </xf>
    <xf numFmtId="0" fontId="19" fillId="0" borderId="79" xfId="17" applyFont="1" applyBorder="1" applyAlignment="1">
      <alignment horizontal="center" vertical="top" wrapText="1"/>
    </xf>
    <xf numFmtId="0" fontId="19" fillId="0" borderId="20" xfId="0" applyFont="1" applyBorder="1" applyAlignment="1">
      <alignment horizontal="left" vertical="center" wrapText="1"/>
    </xf>
    <xf numFmtId="0" fontId="19" fillId="0" borderId="21" xfId="0" applyFont="1" applyBorder="1" applyAlignment="1">
      <alignment horizontal="left" vertical="center" wrapText="1"/>
    </xf>
    <xf numFmtId="0" fontId="19" fillId="0" borderId="6" xfId="0" applyFont="1" applyBorder="1" applyAlignment="1">
      <alignment horizontal="left" vertical="center" wrapText="1"/>
    </xf>
    <xf numFmtId="0" fontId="19" fillId="0" borderId="16" xfId="10" applyFont="1" applyBorder="1" applyAlignment="1">
      <alignment horizontal="center" vertical="top" textRotation="255"/>
    </xf>
    <xf numFmtId="0" fontId="19" fillId="0" borderId="43" xfId="10" applyFont="1" applyBorder="1" applyAlignment="1">
      <alignment horizontal="center" vertical="top" textRotation="255"/>
    </xf>
    <xf numFmtId="0" fontId="19" fillId="0" borderId="14" xfId="10" applyFont="1" applyBorder="1" applyAlignment="1">
      <alignment horizontal="center" vertical="top" textRotation="255"/>
    </xf>
    <xf numFmtId="0" fontId="9" fillId="0" borderId="37" xfId="10" applyFont="1" applyBorder="1" applyAlignment="1">
      <alignment horizontal="center"/>
    </xf>
    <xf numFmtId="0" fontId="9" fillId="0" borderId="36" xfId="10" applyFont="1" applyBorder="1" applyAlignment="1">
      <alignment horizontal="center"/>
    </xf>
    <xf numFmtId="0" fontId="9" fillId="0" borderId="5" xfId="10" applyFont="1" applyBorder="1" applyAlignment="1">
      <alignment horizontal="center"/>
    </xf>
    <xf numFmtId="0" fontId="19" fillId="0" borderId="8" xfId="10" applyFont="1" applyBorder="1" applyAlignment="1">
      <alignment horizontal="left" vertical="top" wrapText="1"/>
    </xf>
    <xf numFmtId="0" fontId="13" fillId="0" borderId="2" xfId="10" applyFont="1" applyBorder="1" applyAlignment="1">
      <alignment horizontal="left" vertical="top" wrapText="1"/>
    </xf>
    <xf numFmtId="0" fontId="11" fillId="0" borderId="1" xfId="10" applyFont="1" applyBorder="1" applyAlignment="1">
      <alignment horizontal="left" vertical="top" wrapText="1"/>
    </xf>
    <xf numFmtId="167" fontId="19" fillId="0" borderId="37" xfId="17" applyNumberFormat="1" applyFont="1" applyBorder="1" applyAlignment="1">
      <alignment horizontal="left" wrapText="1"/>
    </xf>
    <xf numFmtId="167" fontId="19" fillId="0" borderId="5" xfId="17" applyNumberFormat="1" applyFont="1" applyBorder="1" applyAlignment="1">
      <alignment horizontal="left" wrapText="1"/>
    </xf>
    <xf numFmtId="0" fontId="19" fillId="0" borderId="22" xfId="10" applyFont="1" applyBorder="1" applyAlignment="1">
      <alignment horizontal="left" vertical="top" wrapText="1"/>
    </xf>
    <xf numFmtId="0" fontId="19" fillId="0" borderId="0" xfId="10" applyFont="1" applyAlignment="1">
      <alignment horizontal="left" vertical="top" wrapText="1"/>
    </xf>
    <xf numFmtId="0" fontId="19" fillId="0" borderId="9" xfId="10" applyFont="1" applyBorder="1" applyAlignment="1">
      <alignment horizontal="left" vertical="top" wrapText="1"/>
    </xf>
    <xf numFmtId="0" fontId="19" fillId="0" borderId="10" xfId="10" applyFont="1" applyBorder="1" applyAlignment="1">
      <alignment horizontal="left" vertical="top" wrapText="1"/>
    </xf>
    <xf numFmtId="0" fontId="36" fillId="0" borderId="22" xfId="11" applyFont="1" applyBorder="1" applyAlignment="1">
      <alignment horizontal="left" vertical="top" wrapText="1"/>
    </xf>
    <xf numFmtId="0" fontId="36" fillId="0" borderId="0" xfId="11" applyFont="1" applyAlignment="1">
      <alignment horizontal="left" vertical="top" wrapText="1"/>
    </xf>
    <xf numFmtId="0" fontId="36" fillId="0" borderId="10" xfId="11" applyFont="1" applyBorder="1" applyAlignment="1">
      <alignment horizontal="left" vertical="top" wrapText="1"/>
    </xf>
    <xf numFmtId="0" fontId="36" fillId="0" borderId="2" xfId="11" applyFont="1" applyBorder="1" applyAlignment="1">
      <alignment horizontal="left" vertical="top" wrapText="1"/>
    </xf>
    <xf numFmtId="0" fontId="19" fillId="5" borderId="0" xfId="11" applyFont="1" applyFill="1" applyAlignment="1">
      <alignment horizontal="left" vertical="center" wrapText="1"/>
    </xf>
    <xf numFmtId="0" fontId="11" fillId="0" borderId="8" xfId="11" applyFont="1" applyBorder="1" applyAlignment="1">
      <alignment horizontal="left" vertical="top" wrapText="1"/>
    </xf>
    <xf numFmtId="0" fontId="11" fillId="0" borderId="3" xfId="11" applyFont="1" applyBorder="1" applyAlignment="1">
      <alignment horizontal="left" vertical="top" wrapText="1"/>
    </xf>
    <xf numFmtId="0" fontId="11" fillId="0" borderId="6" xfId="11" applyFont="1" applyBorder="1" applyAlignment="1">
      <alignment horizontal="left" vertical="top" wrapText="1"/>
    </xf>
    <xf numFmtId="0" fontId="19" fillId="0" borderId="67" xfId="11" applyFont="1" applyBorder="1" applyAlignment="1">
      <alignment horizontal="left" vertical="top" wrapText="1"/>
    </xf>
    <xf numFmtId="0" fontId="19" fillId="0" borderId="36" xfId="11" applyFont="1" applyBorder="1" applyAlignment="1">
      <alignment horizontal="left" vertical="top" wrapText="1"/>
    </xf>
    <xf numFmtId="0" fontId="19" fillId="0" borderId="5" xfId="11" applyFont="1" applyBorder="1" applyAlignment="1">
      <alignment horizontal="left" vertical="top" wrapText="1"/>
    </xf>
    <xf numFmtId="0" fontId="23" fillId="0" borderId="67" xfId="11" applyFont="1" applyBorder="1" applyAlignment="1">
      <alignment horizontal="left" vertical="top" wrapText="1"/>
    </xf>
    <xf numFmtId="0" fontId="23" fillId="0" borderId="36" xfId="11" applyFont="1" applyBorder="1" applyAlignment="1">
      <alignment horizontal="left" vertical="top" wrapText="1"/>
    </xf>
    <xf numFmtId="0" fontId="23" fillId="0" borderId="5" xfId="11" applyFont="1" applyBorder="1" applyAlignment="1">
      <alignment horizontal="left" vertical="top" wrapText="1"/>
    </xf>
    <xf numFmtId="49" fontId="19" fillId="0" borderId="16" xfId="11" applyNumberFormat="1" applyFont="1" applyBorder="1" applyAlignment="1">
      <alignment horizontal="left" vertical="top" wrapText="1"/>
    </xf>
    <xf numFmtId="49" fontId="19" fillId="0" borderId="43" xfId="11" applyNumberFormat="1" applyFont="1" applyBorder="1" applyAlignment="1">
      <alignment horizontal="left" vertical="top"/>
    </xf>
    <xf numFmtId="49" fontId="19" fillId="0" borderId="14" xfId="11" applyNumberFormat="1" applyFont="1" applyBorder="1" applyAlignment="1">
      <alignment horizontal="left" vertical="top"/>
    </xf>
    <xf numFmtId="0" fontId="19" fillId="0" borderId="48" xfId="11" applyFont="1" applyBorder="1" applyAlignment="1">
      <alignment horizontal="center" vertical="top"/>
    </xf>
    <xf numFmtId="0" fontId="19" fillId="0" borderId="97" xfId="11" applyFont="1" applyBorder="1" applyAlignment="1">
      <alignment horizontal="center" vertical="top"/>
    </xf>
    <xf numFmtId="0" fontId="19" fillId="0" borderId="3" xfId="11" applyFont="1" applyBorder="1" applyAlignment="1">
      <alignment horizontal="left" wrapText="1"/>
    </xf>
    <xf numFmtId="0" fontId="19" fillId="0" borderId="6" xfId="11" applyFont="1" applyBorder="1" applyAlignment="1">
      <alignment horizontal="left" wrapText="1"/>
    </xf>
    <xf numFmtId="0" fontId="19" fillId="0" borderId="1" xfId="11" applyFont="1" applyBorder="1" applyAlignment="1">
      <alignment horizontal="left" vertical="top" wrapText="1"/>
    </xf>
    <xf numFmtId="0" fontId="19" fillId="0" borderId="0" xfId="11" applyFont="1" applyAlignment="1">
      <alignment horizontal="left" vertical="top" wrapText="1"/>
    </xf>
    <xf numFmtId="0" fontId="19" fillId="0" borderId="2" xfId="11" applyFont="1" applyBorder="1" applyAlignment="1">
      <alignment horizontal="left" vertical="top" wrapText="1"/>
    </xf>
    <xf numFmtId="0" fontId="19" fillId="0" borderId="66" xfId="11" applyFont="1" applyBorder="1" applyAlignment="1">
      <alignment horizontal="left" vertical="top" wrapText="1"/>
    </xf>
    <xf numFmtId="0" fontId="19" fillId="0" borderId="24" xfId="11" applyFont="1" applyBorder="1" applyAlignment="1">
      <alignment horizontal="left" vertical="top" wrapText="1"/>
    </xf>
    <xf numFmtId="0" fontId="19" fillId="0" borderId="12" xfId="11" applyFont="1" applyBorder="1" applyAlignment="1">
      <alignment horizontal="left" vertical="top" wrapText="1"/>
    </xf>
    <xf numFmtId="0" fontId="19" fillId="5" borderId="53" xfId="0" applyFont="1" applyFill="1" applyBorder="1" applyAlignment="1">
      <alignment horizontal="center" vertical="center" wrapText="1"/>
    </xf>
    <xf numFmtId="0" fontId="19" fillId="5" borderId="8" xfId="0" applyFont="1" applyFill="1" applyBorder="1" applyAlignment="1">
      <alignment horizontal="left" vertical="top" wrapText="1"/>
    </xf>
    <xf numFmtId="0" fontId="19" fillId="5" borderId="48" xfId="0" applyFont="1" applyFill="1" applyBorder="1" applyAlignment="1">
      <alignment horizontal="left" vertical="top" wrapText="1"/>
    </xf>
    <xf numFmtId="0" fontId="19" fillId="5" borderId="35" xfId="0" applyFont="1" applyFill="1" applyBorder="1" applyAlignment="1">
      <alignment horizontal="left" vertical="top" wrapText="1"/>
    </xf>
    <xf numFmtId="0" fontId="19" fillId="5" borderId="10" xfId="0" applyFont="1" applyFill="1" applyBorder="1" applyAlignment="1">
      <alignment horizontal="left" vertical="top" wrapText="1"/>
    </xf>
    <xf numFmtId="0" fontId="19" fillId="5" borderId="66" xfId="0" applyFont="1" applyFill="1" applyBorder="1" applyAlignment="1">
      <alignment horizontal="left" vertical="top" wrapText="1"/>
    </xf>
    <xf numFmtId="0" fontId="19" fillId="5" borderId="12" xfId="0" applyFont="1" applyFill="1" applyBorder="1" applyAlignment="1">
      <alignment horizontal="left" vertical="top" wrapText="1"/>
    </xf>
    <xf numFmtId="0" fontId="23" fillId="5" borderId="16" xfId="0" applyFont="1" applyFill="1" applyBorder="1" applyAlignment="1">
      <alignment horizontal="center" textRotation="90" wrapText="1"/>
    </xf>
    <xf numFmtId="0" fontId="23" fillId="5" borderId="43" xfId="0" applyFont="1" applyFill="1" applyBorder="1" applyAlignment="1">
      <alignment horizontal="center" textRotation="90" wrapText="1"/>
    </xf>
    <xf numFmtId="0" fontId="23" fillId="5" borderId="68" xfId="0" applyFont="1" applyFill="1" applyBorder="1" applyAlignment="1">
      <alignment horizontal="center" textRotation="90" wrapText="1"/>
    </xf>
    <xf numFmtId="0" fontId="23" fillId="5" borderId="48" xfId="0" applyFont="1" applyFill="1" applyBorder="1" applyAlignment="1">
      <alignment horizontal="left" vertical="top" wrapText="1"/>
    </xf>
    <xf numFmtId="0" fontId="23" fillId="5" borderId="2" xfId="0" applyFont="1" applyFill="1" applyBorder="1" applyAlignment="1">
      <alignment horizontal="left" vertical="top" wrapText="1"/>
    </xf>
    <xf numFmtId="0" fontId="23" fillId="5" borderId="97" xfId="0" applyFont="1" applyFill="1" applyBorder="1" applyAlignment="1">
      <alignment horizontal="left" vertical="top" wrapText="1"/>
    </xf>
    <xf numFmtId="0" fontId="23" fillId="5" borderId="53" xfId="0" applyFont="1" applyFill="1" applyBorder="1" applyAlignment="1">
      <alignment horizontal="left" vertical="top" wrapText="1"/>
    </xf>
    <xf numFmtId="0" fontId="19" fillId="5" borderId="51" xfId="0" applyFont="1" applyFill="1" applyBorder="1" applyAlignment="1">
      <alignment horizontal="center" vertical="center" wrapText="1"/>
    </xf>
    <xf numFmtId="0" fontId="23" fillId="5" borderId="16" xfId="10" applyFont="1" applyFill="1" applyBorder="1" applyAlignment="1">
      <alignment horizontal="center" vertical="center" wrapText="1"/>
    </xf>
    <xf numFmtId="0" fontId="23" fillId="5" borderId="43" xfId="10" applyFont="1" applyFill="1" applyBorder="1" applyAlignment="1">
      <alignment horizontal="center" vertical="center" wrapText="1"/>
    </xf>
    <xf numFmtId="0" fontId="1" fillId="5" borderId="43" xfId="0" applyFont="1" applyFill="1" applyBorder="1" applyAlignment="1">
      <alignment horizontal="center" vertical="center" wrapText="1"/>
    </xf>
    <xf numFmtId="0" fontId="1" fillId="5" borderId="68" xfId="0" applyFont="1" applyFill="1" applyBorder="1" applyAlignment="1">
      <alignment horizontal="center" vertical="center" wrapText="1"/>
    </xf>
    <xf numFmtId="0" fontId="23" fillId="5" borderId="38" xfId="10" applyFont="1" applyFill="1" applyBorder="1" applyAlignment="1">
      <alignment horizontal="center" vertical="center" wrapText="1"/>
    </xf>
    <xf numFmtId="0" fontId="23" fillId="5" borderId="20" xfId="10" applyFont="1" applyFill="1" applyBorder="1" applyAlignment="1">
      <alignment horizontal="center" vertical="center" wrapText="1"/>
    </xf>
    <xf numFmtId="0" fontId="1" fillId="5" borderId="20" xfId="0" applyFont="1" applyFill="1" applyBorder="1" applyAlignment="1">
      <alignment horizontal="center" vertical="center" wrapText="1"/>
    </xf>
    <xf numFmtId="0" fontId="1" fillId="5" borderId="85" xfId="0" applyFont="1" applyFill="1" applyBorder="1" applyAlignment="1">
      <alignment horizontal="center" vertical="center" wrapText="1"/>
    </xf>
    <xf numFmtId="0" fontId="1" fillId="5" borderId="3" xfId="0" applyFont="1" applyFill="1" applyBorder="1" applyAlignment="1">
      <alignment horizontal="left" vertical="top" wrapText="1"/>
    </xf>
    <xf numFmtId="0" fontId="1" fillId="5" borderId="6" xfId="0" applyFont="1" applyFill="1" applyBorder="1" applyAlignment="1">
      <alignment horizontal="left" vertical="top" wrapText="1"/>
    </xf>
    <xf numFmtId="0" fontId="23" fillId="5" borderId="8" xfId="0" applyFont="1" applyFill="1" applyBorder="1" applyAlignment="1">
      <alignment horizontal="center" vertical="center" wrapText="1"/>
    </xf>
    <xf numFmtId="0" fontId="1" fillId="5" borderId="51" xfId="0" applyFont="1" applyFill="1" applyBorder="1" applyAlignment="1">
      <alignment horizontal="center" vertical="center" wrapText="1"/>
    </xf>
    <xf numFmtId="0" fontId="23" fillId="5" borderId="68" xfId="10" applyFont="1" applyFill="1" applyBorder="1" applyAlignment="1">
      <alignment horizontal="center" vertical="center" wrapText="1"/>
    </xf>
    <xf numFmtId="0" fontId="23" fillId="5" borderId="10" xfId="10" applyFont="1" applyFill="1" applyBorder="1" applyAlignment="1">
      <alignment horizontal="center" vertical="center" wrapText="1"/>
    </xf>
    <xf numFmtId="0" fontId="23" fillId="5" borderId="53" xfId="10" applyFont="1" applyFill="1" applyBorder="1" applyAlignment="1">
      <alignment horizontal="center" vertical="center" wrapText="1"/>
    </xf>
    <xf numFmtId="0" fontId="1" fillId="5" borderId="3" xfId="0" applyFont="1" applyFill="1" applyBorder="1" applyAlignment="1">
      <alignment horizontal="center" vertical="center" wrapText="1"/>
    </xf>
    <xf numFmtId="0" fontId="19" fillId="5" borderId="6" xfId="10" applyFont="1" applyFill="1" applyBorder="1" applyAlignment="1">
      <alignment horizontal="left" wrapText="1"/>
    </xf>
    <xf numFmtId="0" fontId="23" fillId="0" borderId="16" xfId="10" applyFont="1" applyBorder="1" applyAlignment="1">
      <alignment horizontal="center" vertical="center" wrapText="1"/>
    </xf>
    <xf numFmtId="0" fontId="1" fillId="0" borderId="43" xfId="0" applyFont="1" applyBorder="1" applyAlignment="1">
      <alignment horizontal="center" vertical="center"/>
    </xf>
    <xf numFmtId="0" fontId="1" fillId="0" borderId="68" xfId="0" applyFont="1" applyBorder="1" applyAlignment="1">
      <alignment horizontal="center" vertical="center"/>
    </xf>
    <xf numFmtId="0" fontId="23" fillId="0" borderId="10" xfId="10" applyFont="1" applyBorder="1" applyAlignment="1">
      <alignment horizontal="left" vertical="center" wrapText="1"/>
    </xf>
    <xf numFmtId="0" fontId="1" fillId="0" borderId="2" xfId="0" applyFont="1" applyBorder="1" applyAlignment="1">
      <alignment horizontal="left" vertical="center"/>
    </xf>
    <xf numFmtId="0" fontId="1" fillId="0" borderId="53" xfId="0" applyFont="1" applyBorder="1" applyAlignment="1">
      <alignment horizontal="left" vertical="center"/>
    </xf>
    <xf numFmtId="0" fontId="23" fillId="5" borderId="8" xfId="0" applyFont="1" applyFill="1" applyBorder="1" applyAlignment="1">
      <alignment horizontal="center" vertical="center"/>
    </xf>
    <xf numFmtId="0" fontId="23" fillId="5" borderId="3" xfId="0" applyFont="1" applyFill="1" applyBorder="1" applyAlignment="1">
      <alignment horizontal="center" vertical="center"/>
    </xf>
    <xf numFmtId="0" fontId="23" fillId="5" borderId="51" xfId="0" applyFont="1" applyFill="1" applyBorder="1" applyAlignment="1">
      <alignment horizontal="center" vertical="center"/>
    </xf>
    <xf numFmtId="0" fontId="1" fillId="5" borderId="43" xfId="0" applyFont="1" applyFill="1" applyBorder="1" applyAlignment="1">
      <alignment horizontal="center" vertical="center"/>
    </xf>
    <xf numFmtId="0" fontId="1" fillId="5" borderId="68" xfId="0" applyFont="1" applyFill="1" applyBorder="1" applyAlignment="1">
      <alignment horizontal="center" vertical="center"/>
    </xf>
    <xf numFmtId="0" fontId="23" fillId="5" borderId="10" xfId="10" applyFont="1" applyFill="1" applyBorder="1" applyAlignment="1">
      <alignment horizontal="left" vertical="center" wrapText="1"/>
    </xf>
    <xf numFmtId="0" fontId="1" fillId="5" borderId="2" xfId="0" applyFont="1" applyFill="1" applyBorder="1" applyAlignment="1">
      <alignment horizontal="left" vertical="center"/>
    </xf>
    <xf numFmtId="0" fontId="1" fillId="5" borderId="53" xfId="0" applyFont="1" applyFill="1" applyBorder="1" applyAlignment="1">
      <alignment horizontal="left" vertical="center"/>
    </xf>
    <xf numFmtId="0" fontId="19" fillId="0" borderId="0" xfId="17" applyFont="1" applyAlignment="1">
      <alignment horizontal="center" vertical="center" wrapText="1"/>
    </xf>
    <xf numFmtId="167" fontId="23" fillId="0" borderId="0" xfId="17" applyNumberFormat="1" applyFont="1" applyAlignment="1">
      <alignment horizontal="center" vertical="center" wrapText="1"/>
    </xf>
    <xf numFmtId="0" fontId="19" fillId="0" borderId="0" xfId="0" applyFont="1" applyAlignment="1">
      <alignment horizontal="left" vertical="center" wrapText="1"/>
    </xf>
    <xf numFmtId="0" fontId="19" fillId="0" borderId="0" xfId="0" applyFont="1" applyAlignment="1">
      <alignment horizontal="left" wrapText="1"/>
    </xf>
    <xf numFmtId="0" fontId="19" fillId="0" borderId="0" xfId="17" applyFont="1" applyAlignment="1">
      <alignment horizontal="left" vertical="center"/>
    </xf>
    <xf numFmtId="0" fontId="19" fillId="5" borderId="127" xfId="0" applyFont="1" applyFill="1" applyBorder="1" applyAlignment="1">
      <alignment horizontal="center" vertical="top" wrapText="1"/>
    </xf>
    <xf numFmtId="0" fontId="19" fillId="5" borderId="128" xfId="0" applyFont="1" applyFill="1" applyBorder="1" applyAlignment="1">
      <alignment horizontal="center" vertical="top" wrapText="1"/>
    </xf>
    <xf numFmtId="0" fontId="19" fillId="5" borderId="104" xfId="0" applyFont="1" applyFill="1" applyBorder="1" applyAlignment="1">
      <alignment horizontal="center" vertical="top" wrapText="1"/>
    </xf>
    <xf numFmtId="0" fontId="19" fillId="5" borderId="105" xfId="0" applyFont="1" applyFill="1" applyBorder="1" applyAlignment="1">
      <alignment horizontal="center" vertical="top" wrapText="1"/>
    </xf>
    <xf numFmtId="0" fontId="19" fillId="5" borderId="112" xfId="0" applyFont="1" applyFill="1" applyBorder="1" applyAlignment="1">
      <alignment horizontal="center" textRotation="90" wrapText="1"/>
    </xf>
    <xf numFmtId="0" fontId="19" fillId="5" borderId="131" xfId="0" applyFont="1" applyFill="1" applyBorder="1" applyAlignment="1">
      <alignment horizontal="center" textRotation="90" wrapText="1"/>
    </xf>
    <xf numFmtId="0" fontId="19" fillId="5" borderId="98" xfId="0" applyFont="1" applyFill="1" applyBorder="1" applyAlignment="1">
      <alignment horizontal="center" textRotation="90" wrapText="1"/>
    </xf>
    <xf numFmtId="0" fontId="19" fillId="5" borderId="114" xfId="0" applyFont="1" applyFill="1" applyBorder="1" applyAlignment="1">
      <alignment horizontal="center" textRotation="90" wrapText="1"/>
    </xf>
    <xf numFmtId="0" fontId="19" fillId="5" borderId="132" xfId="0" applyFont="1" applyFill="1" applyBorder="1" applyAlignment="1">
      <alignment horizontal="center" textRotation="90" wrapText="1"/>
    </xf>
    <xf numFmtId="0" fontId="19" fillId="0" borderId="37" xfId="0" applyFont="1" applyBorder="1" applyAlignment="1">
      <alignment horizontal="center"/>
    </xf>
    <xf numFmtId="0" fontId="19" fillId="0" borderId="36" xfId="0" applyFont="1" applyBorder="1" applyAlignment="1">
      <alignment horizontal="center"/>
    </xf>
    <xf numFmtId="0" fontId="19" fillId="0" borderId="5" xfId="0" applyFont="1" applyBorder="1" applyAlignment="1">
      <alignment horizontal="center"/>
    </xf>
    <xf numFmtId="0" fontId="19" fillId="5" borderId="36" xfId="0" applyFont="1" applyFill="1" applyBorder="1" applyAlignment="1">
      <alignment horizontal="center"/>
    </xf>
    <xf numFmtId="0" fontId="19" fillId="5" borderId="5" xfId="0" applyFont="1" applyFill="1" applyBorder="1" applyAlignment="1">
      <alignment horizontal="center"/>
    </xf>
    <xf numFmtId="0" fontId="23" fillId="0" borderId="8" xfId="0" applyFont="1" applyBorder="1" applyAlignment="1">
      <alignment horizontal="center" vertical="center"/>
    </xf>
    <xf numFmtId="0" fontId="23" fillId="0" borderId="51" xfId="0" applyFont="1" applyBorder="1" applyAlignment="1">
      <alignment horizontal="center" vertical="center"/>
    </xf>
    <xf numFmtId="0" fontId="19" fillId="0" borderId="23" xfId="0" applyFont="1" applyBorder="1" applyAlignment="1">
      <alignment horizontal="left" vertical="top" wrapText="1"/>
    </xf>
    <xf numFmtId="0" fontId="11" fillId="0" borderId="8" xfId="0" applyFont="1" applyBorder="1" applyAlignment="1">
      <alignment horizontal="center" textRotation="90" wrapText="1"/>
    </xf>
    <xf numFmtId="0" fontId="11" fillId="0" borderId="3" xfId="0" applyFont="1" applyBorder="1" applyAlignment="1">
      <alignment horizontal="center" textRotation="90" wrapText="1"/>
    </xf>
    <xf numFmtId="0" fontId="11" fillId="0" borderId="6" xfId="0" applyFont="1" applyBorder="1" applyAlignment="1">
      <alignment horizontal="center" textRotation="90" wrapText="1"/>
    </xf>
    <xf numFmtId="0" fontId="11" fillId="0" borderId="8" xfId="0" applyFont="1" applyBorder="1" applyAlignment="1">
      <alignment horizontal="center" textRotation="90"/>
    </xf>
    <xf numFmtId="0" fontId="11" fillId="0" borderId="3" xfId="0" applyFont="1" applyBorder="1" applyAlignment="1">
      <alignment horizontal="center" textRotation="90"/>
    </xf>
    <xf numFmtId="0" fontId="11" fillId="0" borderId="6" xfId="0" applyFont="1" applyBorder="1" applyAlignment="1">
      <alignment horizontal="center" textRotation="90"/>
    </xf>
    <xf numFmtId="1" fontId="7" fillId="0" borderId="0" xfId="3" applyNumberFormat="1" applyFont="1" applyFill="1" applyBorder="1" applyAlignment="1">
      <alignment horizontal="left" vertical="center"/>
    </xf>
    <xf numFmtId="0" fontId="19" fillId="0" borderId="1" xfId="0" applyFont="1" applyBorder="1" applyAlignment="1">
      <alignment horizontal="left" vertical="center" wrapText="1"/>
    </xf>
    <xf numFmtId="0" fontId="19" fillId="0" borderId="2" xfId="0" applyFont="1" applyBorder="1" applyAlignment="1">
      <alignment horizontal="left" vertical="center" wrapText="1"/>
    </xf>
    <xf numFmtId="0" fontId="19" fillId="0" borderId="1" xfId="0" applyFont="1" applyBorder="1" applyAlignment="1">
      <alignment horizontal="center"/>
    </xf>
    <xf numFmtId="0" fontId="19" fillId="0" borderId="2" xfId="0" applyFont="1" applyBorder="1" applyAlignment="1">
      <alignment horizontal="center"/>
    </xf>
    <xf numFmtId="0" fontId="20" fillId="0" borderId="37" xfId="0" applyFont="1" applyBorder="1" applyAlignment="1">
      <alignment horizontal="center"/>
    </xf>
    <xf numFmtId="0" fontId="20" fillId="0" borderId="5" xfId="0" applyFont="1" applyBorder="1" applyAlignment="1">
      <alignment horizontal="center"/>
    </xf>
    <xf numFmtId="0" fontId="23" fillId="0" borderId="37" xfId="0" applyFont="1" applyBorder="1" applyAlignment="1">
      <alignment horizontal="center"/>
    </xf>
    <xf numFmtId="0" fontId="23" fillId="0" borderId="36" xfId="0" applyFont="1" applyBorder="1" applyAlignment="1">
      <alignment horizontal="center"/>
    </xf>
    <xf numFmtId="0" fontId="23" fillId="0" borderId="5" xfId="0" applyFont="1" applyBorder="1" applyAlignment="1">
      <alignment horizontal="center"/>
    </xf>
    <xf numFmtId="0" fontId="23" fillId="0" borderId="8" xfId="0" applyFont="1" applyBorder="1" applyAlignment="1">
      <alignment horizontal="center" vertical="center" wrapText="1"/>
    </xf>
    <xf numFmtId="0" fontId="23" fillId="0" borderId="51" xfId="0" applyFont="1" applyBorder="1" applyAlignment="1">
      <alignment horizontal="center" vertical="center" wrapText="1"/>
    </xf>
    <xf numFmtId="0" fontId="19" fillId="5" borderId="37" xfId="0" applyFont="1" applyFill="1" applyBorder="1" applyAlignment="1">
      <alignment horizontal="center"/>
    </xf>
    <xf numFmtId="0" fontId="23" fillId="0" borderId="52" xfId="0" applyFont="1" applyBorder="1" applyAlignment="1">
      <alignment horizontal="left" vertical="top" wrapText="1"/>
    </xf>
    <xf numFmtId="0" fontId="23" fillId="0" borderId="53" xfId="0" applyFont="1" applyBorder="1" applyAlignment="1">
      <alignment horizontal="left" vertical="top" wrapText="1"/>
    </xf>
    <xf numFmtId="0" fontId="4" fillId="0" borderId="51" xfId="0" applyFont="1" applyBorder="1" applyAlignment="1">
      <alignment horizontal="center" vertical="center" wrapText="1"/>
    </xf>
    <xf numFmtId="0" fontId="23" fillId="0" borderId="3" xfId="0" applyFont="1" applyBorder="1" applyAlignment="1">
      <alignment horizontal="center" vertical="center" textRotation="90" wrapText="1"/>
    </xf>
    <xf numFmtId="0" fontId="23" fillId="0" borderId="51" xfId="0" applyFont="1" applyBorder="1" applyAlignment="1">
      <alignment horizontal="center" vertical="center" textRotation="90" wrapText="1"/>
    </xf>
    <xf numFmtId="0" fontId="23" fillId="0" borderId="8" xfId="0" applyFont="1" applyBorder="1" applyAlignment="1">
      <alignment horizontal="center" vertical="top" wrapText="1"/>
    </xf>
    <xf numFmtId="0" fontId="23" fillId="0" borderId="51" xfId="0" applyFont="1" applyBorder="1" applyAlignment="1">
      <alignment horizontal="center" vertical="top" wrapText="1"/>
    </xf>
    <xf numFmtId="0" fontId="1" fillId="0" borderId="51" xfId="0" applyFont="1" applyBorder="1" applyAlignment="1">
      <alignment horizontal="center" vertical="center" wrapText="1"/>
    </xf>
    <xf numFmtId="0" fontId="23" fillId="0" borderId="9" xfId="0" applyFont="1" applyBorder="1" applyAlignment="1">
      <alignment horizontal="center" vertical="center"/>
    </xf>
    <xf numFmtId="0" fontId="23" fillId="0" borderId="10" xfId="0" applyFont="1" applyBorder="1" applyAlignment="1">
      <alignment horizontal="center" vertical="center"/>
    </xf>
    <xf numFmtId="0" fontId="23" fillId="0" borderId="52" xfId="0" applyFont="1" applyBorder="1" applyAlignment="1">
      <alignment horizontal="center" vertical="center"/>
    </xf>
    <xf numFmtId="0" fontId="23" fillId="0" borderId="53" xfId="0" applyFont="1" applyBorder="1" applyAlignment="1">
      <alignment horizontal="center" vertical="center"/>
    </xf>
    <xf numFmtId="0" fontId="13" fillId="0" borderId="3" xfId="0" applyFont="1" applyBorder="1" applyAlignment="1">
      <alignment horizontal="left" vertical="top" wrapText="1"/>
    </xf>
    <xf numFmtId="0" fontId="1" fillId="0" borderId="3" xfId="0" applyFont="1" applyBorder="1" applyAlignment="1">
      <alignment horizontal="left" vertical="top" wrapText="1"/>
    </xf>
    <xf numFmtId="0" fontId="1" fillId="0" borderId="6" xfId="0" applyFont="1" applyBorder="1" applyAlignment="1">
      <alignment horizontal="left" vertical="top" wrapText="1"/>
    </xf>
    <xf numFmtId="0" fontId="1" fillId="0" borderId="1" xfId="0" applyFont="1" applyBorder="1" applyAlignment="1">
      <alignment horizontal="left" vertical="top" wrapText="1"/>
    </xf>
    <xf numFmtId="0" fontId="1" fillId="0" borderId="2" xfId="0" applyFont="1" applyBorder="1" applyAlignment="1">
      <alignment horizontal="left" vertical="top" wrapText="1"/>
    </xf>
    <xf numFmtId="167" fontId="19" fillId="0" borderId="9" xfId="17" applyNumberFormat="1" applyFont="1" applyBorder="1" applyAlignment="1">
      <alignment horizontal="left" vertical="top"/>
    </xf>
    <xf numFmtId="0" fontId="19" fillId="0" borderId="10" xfId="0" applyFont="1" applyBorder="1" applyAlignment="1">
      <alignment horizontal="left" vertical="top"/>
    </xf>
    <xf numFmtId="0" fontId="23" fillId="0" borderId="51" xfId="17" applyFont="1" applyBorder="1" applyAlignment="1">
      <alignment horizontal="center" vertical="center" textRotation="90" wrapText="1"/>
    </xf>
    <xf numFmtId="0" fontId="19" fillId="0" borderId="22" xfId="17" applyFont="1" applyBorder="1" applyAlignment="1">
      <alignment vertical="top" wrapText="1"/>
    </xf>
    <xf numFmtId="0" fontId="19" fillId="0" borderId="128" xfId="17" applyFont="1" applyBorder="1" applyAlignment="1">
      <alignment vertical="top" wrapText="1"/>
    </xf>
    <xf numFmtId="0" fontId="19" fillId="0" borderId="0" xfId="17" applyFont="1" applyAlignment="1">
      <alignment vertical="top" wrapText="1"/>
    </xf>
    <xf numFmtId="0" fontId="19" fillId="0" borderId="105" xfId="17" applyFont="1" applyBorder="1" applyAlignment="1">
      <alignment vertical="top" wrapText="1"/>
    </xf>
    <xf numFmtId="0" fontId="19" fillId="0" borderId="22" xfId="17" applyFont="1" applyBorder="1" applyAlignment="1">
      <alignment horizontal="left" vertical="top" wrapText="1"/>
    </xf>
    <xf numFmtId="0" fontId="19" fillId="0" borderId="10" xfId="17" applyFont="1" applyBorder="1" applyAlignment="1">
      <alignment horizontal="left" vertical="top" wrapText="1"/>
    </xf>
    <xf numFmtId="0" fontId="19" fillId="0" borderId="0" xfId="20" applyFont="1" applyAlignment="1">
      <alignment horizontal="left" vertical="top" wrapText="1"/>
    </xf>
    <xf numFmtId="0" fontId="19" fillId="5" borderId="0" xfId="11" applyFont="1" applyFill="1" applyAlignment="1">
      <alignment horizontal="left"/>
    </xf>
    <xf numFmtId="0" fontId="19" fillId="5" borderId="2" xfId="11" applyFont="1" applyFill="1" applyBorder="1" applyAlignment="1">
      <alignment horizontal="left"/>
    </xf>
    <xf numFmtId="0" fontId="19" fillId="5" borderId="24" xfId="11" applyFont="1" applyFill="1" applyBorder="1" applyAlignment="1">
      <alignment horizontal="left"/>
    </xf>
    <xf numFmtId="0" fontId="19" fillId="5" borderId="12" xfId="11" applyFont="1" applyFill="1" applyBorder="1" applyAlignment="1">
      <alignment horizontal="left"/>
    </xf>
    <xf numFmtId="0" fontId="19" fillId="0" borderId="22" xfId="17" applyFont="1" applyBorder="1" applyAlignment="1">
      <alignment horizontal="left" vertical="top"/>
    </xf>
    <xf numFmtId="0" fontId="19" fillId="0" borderId="10" xfId="17" applyFont="1" applyBorder="1" applyAlignment="1">
      <alignment horizontal="left" vertical="top"/>
    </xf>
    <xf numFmtId="0" fontId="19" fillId="0" borderId="22" xfId="17" applyFont="1" applyBorder="1" applyAlignment="1">
      <alignment horizontal="left" wrapText="1"/>
    </xf>
    <xf numFmtId="0" fontId="19" fillId="0" borderId="10" xfId="17" applyFont="1" applyBorder="1" applyAlignment="1">
      <alignment horizontal="left" wrapText="1"/>
    </xf>
    <xf numFmtId="0" fontId="19" fillId="0" borderId="102" xfId="17" applyFont="1" applyBorder="1" applyAlignment="1">
      <alignment horizontal="left" vertical="top" wrapText="1"/>
    </xf>
    <xf numFmtId="0" fontId="19" fillId="0" borderId="24" xfId="17" applyFont="1" applyBorder="1" applyAlignment="1">
      <alignment horizontal="center"/>
    </xf>
    <xf numFmtId="0" fontId="19" fillId="0" borderId="103" xfId="17" applyFont="1" applyBorder="1" applyAlignment="1">
      <alignment horizontal="left" vertical="top" wrapText="1"/>
    </xf>
    <xf numFmtId="0" fontId="19" fillId="0" borderId="105" xfId="17" applyFont="1" applyBorder="1" applyAlignment="1">
      <alignment horizontal="left" vertical="top" wrapText="1"/>
    </xf>
    <xf numFmtId="167" fontId="23" fillId="0" borderId="104" xfId="17" applyNumberFormat="1" applyFont="1" applyBorder="1" applyAlignment="1">
      <alignment horizontal="left" vertical="top" wrapText="1"/>
    </xf>
    <xf numFmtId="167" fontId="23" fillId="0" borderId="0" xfId="17" applyNumberFormat="1" applyFont="1" applyAlignment="1">
      <alignment horizontal="left" vertical="top" wrapText="1"/>
    </xf>
    <xf numFmtId="0" fontId="30" fillId="0" borderId="0" xfId="17" applyFont="1" applyAlignment="1">
      <alignment horizontal="center" vertical="top" wrapText="1"/>
    </xf>
    <xf numFmtId="0" fontId="19" fillId="0" borderId="0" xfId="17" applyFont="1" applyAlignment="1">
      <alignment horizontal="right" vertical="top" wrapText="1"/>
    </xf>
    <xf numFmtId="0" fontId="19" fillId="0" borderId="2" xfId="17" applyFont="1" applyBorder="1" applyAlignment="1">
      <alignment horizontal="right" vertical="top" wrapText="1"/>
    </xf>
    <xf numFmtId="0" fontId="23" fillId="0" borderId="0" xfId="17" applyFont="1" applyAlignment="1">
      <alignment horizontal="center"/>
    </xf>
    <xf numFmtId="0" fontId="19" fillId="0" borderId="22" xfId="17" applyFont="1" applyBorder="1" applyAlignment="1">
      <alignment horizontal="center" vertical="top" wrapText="1"/>
    </xf>
    <xf numFmtId="0" fontId="19" fillId="0" borderId="10" xfId="17" applyFont="1" applyBorder="1" applyAlignment="1">
      <alignment horizontal="center" vertical="top" wrapText="1"/>
    </xf>
    <xf numFmtId="0" fontId="19" fillId="5" borderId="1" xfId="11" applyFont="1" applyFill="1" applyBorder="1" applyAlignment="1">
      <alignment horizontal="left"/>
    </xf>
    <xf numFmtId="167" fontId="23" fillId="0" borderId="106" xfId="17" applyNumberFormat="1" applyFont="1" applyBorder="1" applyAlignment="1">
      <alignment horizontal="left" vertical="top" wrapText="1"/>
    </xf>
    <xf numFmtId="167" fontId="23" fillId="0" borderId="107" xfId="17" applyNumberFormat="1" applyFont="1" applyBorder="1" applyAlignment="1">
      <alignment horizontal="left" vertical="top" wrapText="1"/>
    </xf>
    <xf numFmtId="0" fontId="19" fillId="0" borderId="24" xfId="17" applyFont="1" applyBorder="1" applyAlignment="1">
      <alignment horizontal="left"/>
    </xf>
    <xf numFmtId="0" fontId="19" fillId="5" borderId="22" xfId="17" applyFont="1" applyFill="1" applyBorder="1" applyAlignment="1">
      <alignment horizontal="center" vertical="top" wrapText="1"/>
    </xf>
    <xf numFmtId="0" fontId="19" fillId="5" borderId="10" xfId="17" applyFont="1" applyFill="1" applyBorder="1" applyAlignment="1">
      <alignment horizontal="center" vertical="top" wrapText="1"/>
    </xf>
    <xf numFmtId="0" fontId="19" fillId="5" borderId="12" xfId="17" applyFont="1" applyFill="1" applyBorder="1" applyAlignment="1">
      <alignment horizontal="center" vertical="top" wrapText="1"/>
    </xf>
    <xf numFmtId="0" fontId="19" fillId="0" borderId="0" xfId="20" applyFont="1" applyAlignment="1">
      <alignment horizontal="center" wrapText="1"/>
    </xf>
    <xf numFmtId="0" fontId="19" fillId="0" borderId="24" xfId="20" applyFont="1" applyBorder="1" applyAlignment="1">
      <alignment horizontal="center" wrapText="1"/>
    </xf>
    <xf numFmtId="0" fontId="19" fillId="0" borderId="22" xfId="20" applyFont="1" applyBorder="1" applyAlignment="1">
      <alignment horizontal="left" vertical="top" wrapText="1"/>
    </xf>
    <xf numFmtId="0" fontId="19" fillId="0" borderId="2" xfId="20" applyFont="1" applyBorder="1" applyAlignment="1">
      <alignment horizontal="left" vertical="top" wrapText="1"/>
    </xf>
    <xf numFmtId="0" fontId="23" fillId="5" borderId="0" xfId="17" applyFont="1" applyFill="1" applyAlignment="1">
      <alignment horizontal="left" vertical="top" wrapText="1"/>
    </xf>
    <xf numFmtId="0" fontId="19" fillId="0" borderId="0" xfId="17" applyFont="1" applyAlignment="1">
      <alignment horizontal="center"/>
    </xf>
    <xf numFmtId="0" fontId="19" fillId="5" borderId="22" xfId="17" applyFont="1" applyFill="1" applyBorder="1" applyAlignment="1">
      <alignment horizontal="left" vertical="top" wrapText="1"/>
    </xf>
    <xf numFmtId="0" fontId="19" fillId="0" borderId="10" xfId="17" applyFont="1" applyBorder="1" applyAlignment="1">
      <alignment vertical="top" wrapText="1"/>
    </xf>
    <xf numFmtId="0" fontId="19" fillId="0" borderId="2" xfId="17" applyFont="1" applyBorder="1" applyAlignment="1">
      <alignment vertical="top" wrapText="1"/>
    </xf>
    <xf numFmtId="0" fontId="19" fillId="5" borderId="36" xfId="17" applyFont="1" applyFill="1" applyBorder="1" applyAlignment="1">
      <alignment horizontal="center"/>
    </xf>
    <xf numFmtId="0" fontId="19" fillId="5" borderId="37" xfId="17" applyFont="1" applyFill="1" applyBorder="1" applyAlignment="1">
      <alignment horizontal="center"/>
    </xf>
    <xf numFmtId="0" fontId="19" fillId="5" borderId="67" xfId="17" applyFont="1" applyFill="1" applyBorder="1" applyAlignment="1">
      <alignment horizontal="left" wrapText="1"/>
    </xf>
    <xf numFmtId="0" fontId="19" fillId="5" borderId="36" xfId="17" applyFont="1" applyFill="1" applyBorder="1" applyAlignment="1">
      <alignment horizontal="left" wrapText="1"/>
    </xf>
    <xf numFmtId="0" fontId="19" fillId="5" borderId="5" xfId="17" applyFont="1" applyFill="1" applyBorder="1" applyAlignment="1">
      <alignment horizontal="left" wrapText="1"/>
    </xf>
    <xf numFmtId="0" fontId="19" fillId="5" borderId="67" xfId="0" applyFont="1" applyFill="1" applyBorder="1" applyAlignment="1">
      <alignment horizontal="left" wrapText="1"/>
    </xf>
    <xf numFmtId="0" fontId="19" fillId="5" borderId="36" xfId="0" applyFont="1" applyFill="1" applyBorder="1" applyAlignment="1">
      <alignment horizontal="left" wrapText="1"/>
    </xf>
    <xf numFmtId="0" fontId="19" fillId="5" borderId="5" xfId="0" applyFont="1" applyFill="1" applyBorder="1" applyAlignment="1">
      <alignment horizontal="left" wrapText="1"/>
    </xf>
    <xf numFmtId="0" fontId="19" fillId="5" borderId="37" xfId="17" applyFont="1" applyFill="1" applyBorder="1" applyAlignment="1">
      <alignment horizontal="center" vertical="top" wrapText="1"/>
    </xf>
    <xf numFmtId="0" fontId="19" fillId="5" borderId="36" xfId="17" applyFont="1" applyFill="1" applyBorder="1" applyAlignment="1">
      <alignment horizontal="center" vertical="top" wrapText="1"/>
    </xf>
    <xf numFmtId="0" fontId="19" fillId="5" borderId="5" xfId="17" applyFont="1" applyFill="1" applyBorder="1" applyAlignment="1">
      <alignment horizontal="center" vertical="top" wrapText="1"/>
    </xf>
    <xf numFmtId="0" fontId="19" fillId="5" borderId="37" xfId="0" applyFont="1" applyFill="1" applyBorder="1" applyAlignment="1">
      <alignment horizontal="center" vertical="top" wrapText="1"/>
    </xf>
    <xf numFmtId="0" fontId="19" fillId="5" borderId="36" xfId="0" applyFont="1" applyFill="1" applyBorder="1" applyAlignment="1">
      <alignment horizontal="center" vertical="top" wrapText="1"/>
    </xf>
    <xf numFmtId="0" fontId="19" fillId="5" borderId="5" xfId="0" applyFont="1" applyFill="1" applyBorder="1" applyAlignment="1">
      <alignment horizontal="center" vertical="top" wrapText="1"/>
    </xf>
    <xf numFmtId="0" fontId="23" fillId="5" borderId="14" xfId="17" applyFont="1" applyFill="1" applyBorder="1" applyAlignment="1">
      <alignment horizontal="center" vertical="center" textRotation="90" wrapText="1"/>
    </xf>
    <xf numFmtId="0" fontId="19" fillId="5" borderId="2" xfId="0" applyFont="1" applyFill="1" applyBorder="1" applyAlignment="1">
      <alignment vertical="top" wrapText="1"/>
    </xf>
    <xf numFmtId="0" fontId="19" fillId="5" borderId="9" xfId="17" applyFont="1" applyFill="1" applyBorder="1" applyAlignment="1">
      <alignment horizontal="center"/>
    </xf>
    <xf numFmtId="0" fontId="19" fillId="5" borderId="22" xfId="0" applyFont="1" applyFill="1" applyBorder="1" applyAlignment="1">
      <alignment horizontal="center"/>
    </xf>
    <xf numFmtId="0" fontId="19" fillId="5" borderId="10" xfId="0" applyFont="1" applyFill="1" applyBorder="1" applyAlignment="1">
      <alignment horizontal="center"/>
    </xf>
    <xf numFmtId="0" fontId="19" fillId="5" borderId="5" xfId="17" applyFont="1" applyFill="1" applyBorder="1" applyAlignment="1">
      <alignment horizontal="center"/>
    </xf>
    <xf numFmtId="0" fontId="19" fillId="5" borderId="67" xfId="17" applyFont="1" applyFill="1" applyBorder="1" applyAlignment="1">
      <alignment horizontal="left" vertical="center" wrapText="1"/>
    </xf>
    <xf numFmtId="0" fontId="19" fillId="5" borderId="36" xfId="17" applyFont="1" applyFill="1" applyBorder="1" applyAlignment="1">
      <alignment horizontal="left" vertical="center" wrapText="1"/>
    </xf>
    <xf numFmtId="0" fontId="19" fillId="5" borderId="5" xfId="17" applyFont="1" applyFill="1" applyBorder="1" applyAlignment="1">
      <alignment horizontal="left" vertical="center" wrapText="1"/>
    </xf>
    <xf numFmtId="167" fontId="23" fillId="5" borderId="10" xfId="17" applyNumberFormat="1" applyFont="1" applyFill="1" applyBorder="1" applyAlignment="1">
      <alignment horizontal="center"/>
    </xf>
    <xf numFmtId="0" fontId="23" fillId="2" borderId="16" xfId="17" applyFont="1" applyFill="1" applyBorder="1" applyAlignment="1">
      <alignment horizontal="center" vertical="center" textRotation="90" wrapText="1"/>
    </xf>
    <xf numFmtId="0" fontId="23" fillId="2" borderId="43" xfId="17" applyFont="1" applyFill="1" applyBorder="1" applyAlignment="1">
      <alignment horizontal="center" vertical="center" textRotation="90" wrapText="1"/>
    </xf>
    <xf numFmtId="0" fontId="23" fillId="2" borderId="68" xfId="17" applyFont="1" applyFill="1" applyBorder="1" applyAlignment="1">
      <alignment horizontal="center" vertical="center" textRotation="90" wrapText="1"/>
    </xf>
    <xf numFmtId="167" fontId="23" fillId="0" borderId="102" xfId="17" applyNumberFormat="1" applyFont="1" applyBorder="1" applyAlignment="1">
      <alignment horizontal="left"/>
    </xf>
    <xf numFmtId="167" fontId="23" fillId="0" borderId="103" xfId="17" applyNumberFormat="1" applyFont="1" applyBorder="1" applyAlignment="1">
      <alignment horizontal="left"/>
    </xf>
    <xf numFmtId="1" fontId="19" fillId="0" borderId="105" xfId="3" applyNumberFormat="1" applyFont="1" applyFill="1" applyBorder="1" applyAlignment="1">
      <alignment horizontal="left" vertical="top" wrapText="1"/>
    </xf>
    <xf numFmtId="1" fontId="19" fillId="0" borderId="0" xfId="3" applyNumberFormat="1" applyFont="1" applyFill="1" applyBorder="1" applyAlignment="1">
      <alignment horizontal="left" vertical="top" wrapText="1"/>
    </xf>
    <xf numFmtId="0" fontId="23" fillId="0" borderId="0" xfId="17" applyFont="1" applyAlignment="1">
      <alignment horizontal="center" vertical="top" wrapText="1"/>
    </xf>
    <xf numFmtId="0" fontId="23" fillId="0" borderId="105" xfId="17" applyFont="1" applyBorder="1" applyAlignment="1">
      <alignment horizontal="center" vertical="top" wrapText="1"/>
    </xf>
    <xf numFmtId="0" fontId="19" fillId="2" borderId="0" xfId="17" applyFont="1" applyFill="1" applyAlignment="1">
      <alignment horizontal="left" vertical="top" wrapText="1"/>
    </xf>
    <xf numFmtId="0" fontId="19" fillId="2" borderId="3" xfId="17" applyFont="1" applyFill="1" applyBorder="1" applyAlignment="1">
      <alignment vertical="center" wrapText="1"/>
    </xf>
    <xf numFmtId="0" fontId="30" fillId="0" borderId="1" xfId="17" applyFont="1" applyBorder="1" applyAlignment="1">
      <alignment horizontal="center" vertical="top" wrapText="1"/>
    </xf>
    <xf numFmtId="1" fontId="19" fillId="0" borderId="104" xfId="3" applyNumberFormat="1" applyFont="1" applyFill="1" applyBorder="1" applyAlignment="1">
      <alignment horizontal="left" vertical="top" wrapText="1"/>
    </xf>
    <xf numFmtId="0" fontId="19" fillId="0" borderId="3" xfId="10" applyFont="1" applyBorder="1" applyAlignment="1">
      <alignment horizontal="center" vertical="top" wrapText="1"/>
    </xf>
    <xf numFmtId="0" fontId="19" fillId="0" borderId="6" xfId="10" applyFont="1" applyBorder="1" applyAlignment="1">
      <alignment horizontal="center" vertical="top" wrapText="1"/>
    </xf>
    <xf numFmtId="0" fontId="23" fillId="5" borderId="2" xfId="17" applyFont="1" applyFill="1" applyBorder="1" applyAlignment="1">
      <alignment horizontal="center" vertical="center" textRotation="90" wrapText="1"/>
    </xf>
    <xf numFmtId="0" fontId="19" fillId="0" borderId="111" xfId="17" applyFont="1" applyBorder="1" applyAlignment="1">
      <alignment horizontal="left" vertical="top" wrapText="1"/>
    </xf>
    <xf numFmtId="0" fontId="10" fillId="0" borderId="136" xfId="17" applyFont="1" applyBorder="1" applyAlignment="1">
      <alignment horizontal="center" vertical="center"/>
    </xf>
    <xf numFmtId="1" fontId="23" fillId="0" borderId="137" xfId="3" applyNumberFormat="1" applyFont="1" applyFill="1" applyBorder="1" applyAlignment="1">
      <alignment horizontal="center" vertical="center" wrapText="1"/>
    </xf>
    <xf numFmtId="0" fontId="19" fillId="5" borderId="112" xfId="17" applyFont="1" applyFill="1" applyBorder="1" applyAlignment="1">
      <alignment horizontal="left" vertical="center" wrapText="1"/>
    </xf>
    <xf numFmtId="0" fontId="23" fillId="0" borderId="0" xfId="19" applyFont="1" applyAlignment="1">
      <alignment horizontal="left" vertical="top" wrapText="1" readingOrder="1"/>
    </xf>
    <xf numFmtId="0" fontId="23" fillId="0" borderId="24" xfId="19" applyFont="1" applyBorder="1" applyAlignment="1">
      <alignment horizontal="left" vertical="top" wrapText="1" readingOrder="1"/>
    </xf>
    <xf numFmtId="0" fontId="19" fillId="0" borderId="3" xfId="18" applyFont="1" applyFill="1" applyBorder="1" applyAlignment="1">
      <alignment horizontal="left" vertical="top" wrapText="1"/>
    </xf>
    <xf numFmtId="0" fontId="19" fillId="0" borderId="8" xfId="18" applyFont="1" applyFill="1" applyBorder="1" applyAlignment="1">
      <alignment horizontal="left" vertical="top" wrapText="1"/>
    </xf>
    <xf numFmtId="0" fontId="19" fillId="0" borderId="6" xfId="18" applyFont="1" applyFill="1" applyBorder="1" applyAlignment="1">
      <alignment horizontal="left" vertical="top" wrapText="1"/>
    </xf>
    <xf numFmtId="0" fontId="19" fillId="0" borderId="23" xfId="10" applyFont="1" applyBorder="1" applyAlignment="1">
      <alignment horizontal="left" vertical="top" wrapText="1"/>
    </xf>
    <xf numFmtId="0" fontId="19" fillId="0" borderId="24" xfId="10" applyFont="1" applyBorder="1" applyAlignment="1">
      <alignment horizontal="left" vertical="top" wrapText="1"/>
    </xf>
    <xf numFmtId="0" fontId="19" fillId="0" borderId="12" xfId="10" applyFont="1" applyBorder="1" applyAlignment="1">
      <alignment horizontal="left" vertical="top" wrapText="1"/>
    </xf>
    <xf numFmtId="0" fontId="19" fillId="0" borderId="1" xfId="18" quotePrefix="1" applyFont="1" applyFill="1" applyBorder="1" applyAlignment="1">
      <alignment horizontal="left" vertical="top" wrapText="1"/>
    </xf>
    <xf numFmtId="0" fontId="19" fillId="0" borderId="0" xfId="18" quotePrefix="1" applyFont="1" applyFill="1" applyBorder="1" applyAlignment="1">
      <alignment horizontal="left" vertical="top" wrapText="1"/>
    </xf>
    <xf numFmtId="0" fontId="23" fillId="0" borderId="8" xfId="19" applyFont="1" applyBorder="1" applyAlignment="1">
      <alignment horizontal="center" vertical="top" wrapText="1"/>
    </xf>
    <xf numFmtId="0" fontId="23" fillId="0" borderId="3" xfId="19" applyFont="1" applyBorder="1" applyAlignment="1">
      <alignment horizontal="center" vertical="top" wrapText="1"/>
    </xf>
    <xf numFmtId="0" fontId="23" fillId="0" borderId="51" xfId="19" applyFont="1" applyBorder="1" applyAlignment="1">
      <alignment horizontal="center" vertical="top" wrapText="1"/>
    </xf>
    <xf numFmtId="0" fontId="23" fillId="0" borderId="8" xfId="18" applyFont="1" applyFill="1" applyBorder="1" applyAlignment="1">
      <alignment horizontal="center" vertical="top" wrapText="1"/>
    </xf>
    <xf numFmtId="0" fontId="1" fillId="0" borderId="3" xfId="19" applyBorder="1" applyAlignment="1">
      <alignment horizontal="center" vertical="top" wrapText="1"/>
    </xf>
    <xf numFmtId="0" fontId="1" fillId="0" borderId="51" xfId="19" applyBorder="1" applyAlignment="1">
      <alignment horizontal="center" vertical="top" wrapText="1"/>
    </xf>
    <xf numFmtId="0" fontId="23" fillId="0" borderId="140" xfId="1" applyFont="1" applyFill="1" applyBorder="1" applyAlignment="1">
      <alignment horizontal="center" vertical="center" wrapText="1"/>
    </xf>
    <xf numFmtId="0" fontId="23" fillId="0" borderId="20" xfId="1" applyFont="1" applyFill="1" applyBorder="1" applyAlignment="1">
      <alignment horizontal="center" vertical="center" wrapText="1"/>
    </xf>
    <xf numFmtId="0" fontId="19" fillId="0" borderId="3" xfId="19" applyFont="1" applyBorder="1" applyAlignment="1">
      <alignment horizontal="left" vertical="top" wrapText="1"/>
    </xf>
    <xf numFmtId="0" fontId="23" fillId="0" borderId="38" xfId="18" applyFont="1" applyFill="1" applyBorder="1" applyAlignment="1">
      <alignment horizontal="center" vertical="top" wrapText="1"/>
    </xf>
    <xf numFmtId="0" fontId="1" fillId="0" borderId="20" xfId="19" applyBorder="1" applyAlignment="1">
      <alignment horizontal="center" vertical="top" wrapText="1"/>
    </xf>
    <xf numFmtId="0" fontId="1" fillId="0" borderId="85" xfId="19" applyBorder="1" applyAlignment="1">
      <alignment horizontal="center" vertical="top" wrapText="1"/>
    </xf>
    <xf numFmtId="1" fontId="52" fillId="0" borderId="1" xfId="3" applyNumberFormat="1" applyFont="1" applyFill="1" applyBorder="1" applyAlignment="1">
      <alignment horizontal="center" vertical="top" wrapText="1"/>
    </xf>
    <xf numFmtId="1" fontId="52" fillId="0" borderId="2" xfId="3" applyNumberFormat="1" applyFont="1" applyFill="1" applyBorder="1" applyAlignment="1">
      <alignment horizontal="center" vertical="top" wrapText="1"/>
    </xf>
    <xf numFmtId="1" fontId="19" fillId="0" borderId="1" xfId="3" applyNumberFormat="1" applyFont="1" applyFill="1" applyBorder="1" applyAlignment="1">
      <alignment horizontal="left" vertical="top" wrapText="1"/>
    </xf>
    <xf numFmtId="1" fontId="19" fillId="0" borderId="2" xfId="3" applyNumberFormat="1" applyFont="1" applyFill="1" applyBorder="1" applyAlignment="1">
      <alignment horizontal="left" vertical="top" wrapText="1"/>
    </xf>
    <xf numFmtId="1" fontId="23" fillId="0" borderId="8" xfId="3" applyNumberFormat="1" applyFont="1" applyFill="1" applyBorder="1" applyAlignment="1">
      <alignment horizontal="center" wrapText="1"/>
    </xf>
    <xf numFmtId="1" fontId="23" fillId="0" borderId="51" xfId="3" applyNumberFormat="1" applyFont="1" applyFill="1" applyBorder="1" applyAlignment="1">
      <alignment horizontal="center" wrapText="1"/>
    </xf>
    <xf numFmtId="0" fontId="23" fillId="0" borderId="20" xfId="17" applyFont="1" applyBorder="1" applyAlignment="1">
      <alignment horizontal="left" vertical="top" wrapText="1"/>
    </xf>
    <xf numFmtId="1" fontId="19" fillId="0" borderId="3" xfId="3" applyNumberFormat="1" applyFont="1" applyFill="1" applyBorder="1" applyAlignment="1">
      <alignment horizontal="left" vertical="top" wrapText="1"/>
    </xf>
    <xf numFmtId="1" fontId="19" fillId="0" borderId="114" xfId="3" applyNumberFormat="1" applyFont="1" applyFill="1" applyBorder="1" applyAlignment="1">
      <alignment horizontal="left" vertical="top" wrapText="1"/>
    </xf>
    <xf numFmtId="0" fontId="19" fillId="0" borderId="3" xfId="17" applyFont="1" applyBorder="1" applyAlignment="1">
      <alignment horizontal="center" vertical="center"/>
    </xf>
    <xf numFmtId="0" fontId="19" fillId="0" borderId="6" xfId="17" applyFont="1" applyBorder="1" applyAlignment="1">
      <alignment horizontal="center" vertical="center"/>
    </xf>
    <xf numFmtId="0" fontId="19" fillId="0" borderId="23" xfId="17" applyFont="1" applyBorder="1" applyAlignment="1">
      <alignment horizontal="center" vertical="center"/>
    </xf>
    <xf numFmtId="0" fontId="19" fillId="0" borderId="112" xfId="10" applyFont="1" applyBorder="1" applyAlignment="1">
      <alignment horizontal="left" vertical="top" wrapText="1"/>
    </xf>
    <xf numFmtId="0" fontId="19" fillId="0" borderId="138" xfId="10" applyFont="1" applyBorder="1" applyAlignment="1">
      <alignment horizontal="left" vertical="top" wrapText="1"/>
    </xf>
    <xf numFmtId="0" fontId="19" fillId="0" borderId="4" xfId="17" applyFont="1" applyBorder="1" applyAlignment="1">
      <alignment horizontal="center" vertical="center"/>
    </xf>
    <xf numFmtId="0" fontId="23" fillId="0" borderId="20" xfId="17" applyFont="1" applyBorder="1" applyAlignment="1">
      <alignment horizontal="center" vertical="center" wrapText="1"/>
    </xf>
    <xf numFmtId="0" fontId="23" fillId="0" borderId="21" xfId="17" applyFont="1" applyBorder="1" applyAlignment="1">
      <alignment horizontal="center" vertical="center" wrapText="1"/>
    </xf>
    <xf numFmtId="167" fontId="23" fillId="0" borderId="104" xfId="17" applyNumberFormat="1" applyFont="1" applyBorder="1" applyAlignment="1">
      <alignment horizontal="left"/>
    </xf>
    <xf numFmtId="167" fontId="23" fillId="0" borderId="0" xfId="17" applyNumberFormat="1" applyFont="1" applyAlignment="1">
      <alignment horizontal="left"/>
    </xf>
    <xf numFmtId="167" fontId="23" fillId="0" borderId="9" xfId="17" applyNumberFormat="1" applyFont="1" applyBorder="1" applyAlignment="1">
      <alignment horizontal="left"/>
    </xf>
    <xf numFmtId="167" fontId="23" fillId="0" borderId="22" xfId="17" applyNumberFormat="1" applyFont="1" applyBorder="1" applyAlignment="1">
      <alignment horizontal="left"/>
    </xf>
    <xf numFmtId="167" fontId="23" fillId="0" borderId="10" xfId="17" applyNumberFormat="1" applyFont="1" applyBorder="1" applyAlignment="1">
      <alignment horizontal="left"/>
    </xf>
    <xf numFmtId="0" fontId="23" fillId="0" borderId="141" xfId="17" applyFont="1" applyBorder="1" applyAlignment="1">
      <alignment horizontal="center" vertical="center" textRotation="90" wrapText="1"/>
    </xf>
    <xf numFmtId="0" fontId="23" fillId="0" borderId="135" xfId="17" applyFont="1" applyBorder="1" applyAlignment="1">
      <alignment horizontal="center" vertical="center" textRotation="90" wrapText="1"/>
    </xf>
    <xf numFmtId="0" fontId="23" fillId="0" borderId="142" xfId="17" applyFont="1" applyBorder="1" applyAlignment="1">
      <alignment horizontal="center" vertical="center" textRotation="90" wrapText="1"/>
    </xf>
    <xf numFmtId="0" fontId="36" fillId="0" borderId="0" xfId="0" applyFont="1" applyAlignment="1">
      <alignment horizontal="left"/>
    </xf>
    <xf numFmtId="0" fontId="35" fillId="0" borderId="0" xfId="0" applyFont="1" applyAlignment="1">
      <alignment horizontal="left" wrapText="1"/>
    </xf>
    <xf numFmtId="0" fontId="35" fillId="0" borderId="8" xfId="0" applyFont="1" applyBorder="1" applyAlignment="1">
      <alignment horizontal="left" vertical="top" wrapText="1"/>
    </xf>
    <xf numFmtId="0" fontId="35" fillId="0" borderId="3" xfId="0" applyFont="1" applyBorder="1" applyAlignment="1">
      <alignment horizontal="left" vertical="top" wrapText="1"/>
    </xf>
    <xf numFmtId="0" fontId="35" fillId="0" borderId="6" xfId="0" applyFont="1" applyBorder="1" applyAlignment="1">
      <alignment horizontal="left" vertical="top" wrapText="1"/>
    </xf>
    <xf numFmtId="0" fontId="35" fillId="0" borderId="4" xfId="0" applyFont="1" applyBorder="1" applyAlignment="1">
      <alignment horizontal="center" vertical="center" wrapText="1"/>
    </xf>
    <xf numFmtId="0" fontId="35" fillId="0" borderId="37" xfId="0" applyFont="1" applyBorder="1" applyAlignment="1">
      <alignment horizontal="center" vertical="center" wrapText="1"/>
    </xf>
    <xf numFmtId="0" fontId="35" fillId="0" borderId="36" xfId="0" applyFont="1" applyBorder="1" applyAlignment="1">
      <alignment horizontal="center" vertical="center" wrapText="1"/>
    </xf>
    <xf numFmtId="0" fontId="35" fillId="0" borderId="5" xfId="0" applyFont="1" applyBorder="1" applyAlignment="1">
      <alignment horizontal="center" vertical="center" wrapText="1"/>
    </xf>
    <xf numFmtId="0" fontId="60" fillId="0" borderId="9" xfId="0" applyFont="1" applyBorder="1" applyAlignment="1">
      <alignment horizontal="center" vertical="center" wrapText="1"/>
    </xf>
    <xf numFmtId="0" fontId="35" fillId="0" borderId="10" xfId="0" applyFont="1" applyBorder="1" applyAlignment="1">
      <alignment horizontal="center" vertical="center" wrapText="1"/>
    </xf>
    <xf numFmtId="0" fontId="35" fillId="0" borderId="1" xfId="0" applyFont="1" applyBorder="1" applyAlignment="1">
      <alignment horizontal="center" vertical="center" wrapText="1"/>
    </xf>
    <xf numFmtId="0" fontId="35" fillId="0" borderId="2" xfId="0" applyFont="1" applyBorder="1" applyAlignment="1">
      <alignment horizontal="center" vertical="center" wrapText="1"/>
    </xf>
    <xf numFmtId="0" fontId="36" fillId="0" borderId="4" xfId="0" applyFont="1" applyBorder="1" applyAlignment="1">
      <alignment horizontal="center" vertical="top"/>
    </xf>
    <xf numFmtId="0" fontId="35" fillId="0" borderId="0" xfId="0" applyFont="1" applyAlignment="1">
      <alignment horizontal="left" vertical="center" wrapText="1"/>
    </xf>
    <xf numFmtId="0" fontId="35" fillId="0" borderId="10" xfId="0" applyFont="1" applyBorder="1" applyAlignment="1">
      <alignment horizontal="left" vertical="top" wrapText="1"/>
    </xf>
    <xf numFmtId="0" fontId="35" fillId="0" borderId="2" xfId="0" applyFont="1" applyBorder="1" applyAlignment="1">
      <alignment horizontal="left" vertical="top" wrapText="1"/>
    </xf>
    <xf numFmtId="0" fontId="35" fillId="0" borderId="12" xfId="0" applyFont="1" applyBorder="1" applyAlignment="1">
      <alignment horizontal="left" vertical="top" wrapText="1"/>
    </xf>
    <xf numFmtId="0" fontId="35" fillId="0" borderId="9" xfId="0" applyFont="1" applyBorder="1" applyAlignment="1">
      <alignment horizontal="left" vertical="top" wrapText="1"/>
    </xf>
    <xf numFmtId="0" fontId="35" fillId="0" borderId="1" xfId="0" applyFont="1" applyBorder="1" applyAlignment="1">
      <alignment horizontal="left" vertical="top" wrapText="1"/>
    </xf>
    <xf numFmtId="0" fontId="35" fillId="0" borderId="23" xfId="0" applyFont="1" applyBorder="1" applyAlignment="1">
      <alignment horizontal="left" vertical="top" wrapText="1"/>
    </xf>
    <xf numFmtId="0" fontId="35" fillId="0" borderId="22" xfId="0" applyFont="1" applyBorder="1" applyAlignment="1">
      <alignment horizontal="left" vertical="top" wrapText="1"/>
    </xf>
    <xf numFmtId="0" fontId="35" fillId="0" borderId="0" xfId="0" applyFont="1" applyAlignment="1">
      <alignment horizontal="left" vertical="top" wrapText="1"/>
    </xf>
    <xf numFmtId="0" fontId="35" fillId="0" borderId="24" xfId="0" applyFont="1" applyBorder="1" applyAlignment="1">
      <alignment horizontal="left" vertical="top" wrapText="1"/>
    </xf>
    <xf numFmtId="0" fontId="36" fillId="0" borderId="36" xfId="0" applyFont="1" applyBorder="1" applyAlignment="1">
      <alignment horizontal="center" vertical="top"/>
    </xf>
    <xf numFmtId="0" fontId="36" fillId="0" borderId="5" xfId="0" applyFont="1" applyBorder="1" applyAlignment="1">
      <alignment horizontal="center" vertical="top"/>
    </xf>
    <xf numFmtId="0" fontId="35" fillId="0" borderId="9" xfId="0" applyFont="1" applyBorder="1" applyAlignment="1">
      <alignment horizontal="center" vertical="top" wrapText="1"/>
    </xf>
    <xf numFmtId="0" fontId="35" fillId="0" borderId="10" xfId="0" applyFont="1" applyBorder="1" applyAlignment="1">
      <alignment horizontal="center" vertical="top" wrapText="1"/>
    </xf>
    <xf numFmtId="0" fontId="35" fillId="0" borderId="23" xfId="0" applyFont="1" applyBorder="1" applyAlignment="1">
      <alignment horizontal="center" vertical="top" wrapText="1"/>
    </xf>
    <xf numFmtId="0" fontId="35" fillId="0" borderId="12" xfId="0" applyFont="1" applyBorder="1" applyAlignment="1">
      <alignment horizontal="center" vertical="top" wrapText="1"/>
    </xf>
    <xf numFmtId="167" fontId="36" fillId="0" borderId="4" xfId="17" applyNumberFormat="1" applyFont="1" applyBorder="1" applyAlignment="1">
      <alignment horizontal="center" vertical="top"/>
    </xf>
    <xf numFmtId="167" fontId="36" fillId="0" borderId="37" xfId="17" applyNumberFormat="1" applyFont="1" applyBorder="1" applyAlignment="1">
      <alignment horizontal="center" vertical="top"/>
    </xf>
    <xf numFmtId="167" fontId="36" fillId="0" borderId="36" xfId="17" applyNumberFormat="1" applyFont="1" applyBorder="1" applyAlignment="1">
      <alignment horizontal="center" vertical="top"/>
    </xf>
    <xf numFmtId="167" fontId="36" fillId="0" borderId="5" xfId="17" applyNumberFormat="1" applyFont="1" applyBorder="1" applyAlignment="1">
      <alignment horizontal="center" vertical="top"/>
    </xf>
    <xf numFmtId="167" fontId="36" fillId="0" borderId="37" xfId="17" applyNumberFormat="1" applyFont="1" applyBorder="1" applyAlignment="1">
      <alignment horizontal="center"/>
    </xf>
    <xf numFmtId="167" fontId="36" fillId="0" borderId="5" xfId="17" applyNumberFormat="1" applyFont="1" applyBorder="1" applyAlignment="1">
      <alignment horizontal="center"/>
    </xf>
    <xf numFmtId="0" fontId="58" fillId="0" borderId="8" xfId="0" applyFont="1" applyBorder="1" applyAlignment="1">
      <alignment horizontal="left" vertical="center" wrapText="1"/>
    </xf>
    <xf numFmtId="0" fontId="58" fillId="0" borderId="3" xfId="0" applyFont="1" applyBorder="1" applyAlignment="1">
      <alignment horizontal="left" vertical="center" wrapText="1"/>
    </xf>
    <xf numFmtId="0" fontId="58" fillId="0" borderId="6" xfId="0" applyFont="1" applyBorder="1" applyAlignment="1">
      <alignment horizontal="left" vertical="center" wrapText="1"/>
    </xf>
    <xf numFmtId="0" fontId="36" fillId="0" borderId="4" xfId="0" applyFont="1" applyBorder="1" applyAlignment="1">
      <alignment horizontal="center" vertical="center" textRotation="90"/>
    </xf>
    <xf numFmtId="0" fontId="36" fillId="0" borderId="37" xfId="0" applyFont="1" applyBorder="1" applyAlignment="1">
      <alignment horizontal="center" vertical="center" textRotation="90"/>
    </xf>
    <xf numFmtId="0" fontId="35" fillId="0" borderId="4" xfId="0" applyFont="1" applyBorder="1" applyAlignment="1">
      <alignment horizontal="left" vertical="top" wrapText="1"/>
    </xf>
    <xf numFmtId="0" fontId="35" fillId="0" borderId="9" xfId="0" applyFont="1" applyBorder="1" applyAlignment="1">
      <alignment horizontal="center" wrapText="1"/>
    </xf>
    <xf numFmtId="0" fontId="35" fillId="0" borderId="22" xfId="0" applyFont="1" applyBorder="1" applyAlignment="1">
      <alignment horizontal="center" wrapText="1"/>
    </xf>
    <xf numFmtId="0" fontId="35" fillId="0" borderId="10" xfId="0" applyFont="1" applyBorder="1" applyAlignment="1">
      <alignment horizontal="center" wrapText="1"/>
    </xf>
    <xf numFmtId="0" fontId="35" fillId="0" borderId="23" xfId="0" applyFont="1" applyBorder="1" applyAlignment="1">
      <alignment horizontal="center" wrapText="1"/>
    </xf>
    <xf numFmtId="0" fontId="35" fillId="0" borderId="24" xfId="0" applyFont="1" applyBorder="1" applyAlignment="1">
      <alignment horizontal="center" wrapText="1"/>
    </xf>
    <xf numFmtId="0" fontId="35" fillId="0" borderId="12" xfId="0" applyFont="1" applyBorder="1" applyAlignment="1">
      <alignment horizontal="center" wrapText="1"/>
    </xf>
    <xf numFmtId="167" fontId="23" fillId="0" borderId="4" xfId="17" applyNumberFormat="1" applyFont="1" applyBorder="1" applyAlignment="1">
      <alignment horizontal="center" vertical="top"/>
    </xf>
    <xf numFmtId="167" fontId="23" fillId="0" borderId="5" xfId="17" applyNumberFormat="1" applyFont="1" applyBorder="1" applyAlignment="1">
      <alignment horizontal="center" vertical="top"/>
    </xf>
    <xf numFmtId="0" fontId="19" fillId="0" borderId="4" xfId="0" applyFont="1" applyBorder="1" applyAlignment="1">
      <alignment horizontal="left" vertical="top"/>
    </xf>
    <xf numFmtId="0" fontId="19" fillId="0" borderId="4" xfId="0" applyFont="1" applyBorder="1" applyAlignment="1">
      <alignment horizontal="left" vertical="top" wrapText="1"/>
    </xf>
    <xf numFmtId="0" fontId="19" fillId="0" borderId="8" xfId="11" applyFont="1" applyBorder="1" applyAlignment="1">
      <alignment horizontal="left" vertical="top" wrapText="1"/>
    </xf>
    <xf numFmtId="0" fontId="19" fillId="0" borderId="3" xfId="11" applyFont="1" applyBorder="1" applyAlignment="1">
      <alignment horizontal="left" vertical="top" wrapText="1"/>
    </xf>
    <xf numFmtId="0" fontId="19" fillId="0" borderId="98" xfId="11" applyFont="1" applyBorder="1" applyAlignment="1">
      <alignment horizontal="left" vertical="top" wrapText="1"/>
    </xf>
    <xf numFmtId="0" fontId="19" fillId="0" borderId="6" xfId="11" applyFont="1" applyBorder="1" applyAlignment="1">
      <alignment horizontal="left" vertical="top" wrapText="1"/>
    </xf>
    <xf numFmtId="0" fontId="23" fillId="0" borderId="8" xfId="0" applyFont="1" applyBorder="1" applyAlignment="1">
      <alignment horizontal="center" textRotation="90" wrapText="1"/>
    </xf>
    <xf numFmtId="0" fontId="23" fillId="0" borderId="3" xfId="0" applyFont="1" applyBorder="1" applyAlignment="1">
      <alignment horizontal="center" textRotation="90" wrapText="1"/>
    </xf>
    <xf numFmtId="0" fontId="23" fillId="0" borderId="6" xfId="0" applyFont="1" applyBorder="1" applyAlignment="1">
      <alignment horizontal="center" textRotation="90" wrapText="1"/>
    </xf>
    <xf numFmtId="0" fontId="14" fillId="0" borderId="8" xfId="0" applyFont="1" applyBorder="1" applyAlignment="1">
      <alignment horizontal="left" vertical="top" wrapText="1"/>
    </xf>
    <xf numFmtId="0" fontId="23" fillId="0" borderId="37" xfId="17" applyFont="1" applyBorder="1" applyAlignment="1">
      <alignment horizontal="center" vertical="center"/>
    </xf>
    <xf numFmtId="0" fontId="23" fillId="0" borderId="5" xfId="17" applyFont="1" applyBorder="1" applyAlignment="1">
      <alignment horizontal="center" vertical="center"/>
    </xf>
    <xf numFmtId="0" fontId="23" fillId="0" borderId="36" xfId="17" applyFont="1" applyBorder="1" applyAlignment="1">
      <alignment horizontal="center" vertical="center"/>
    </xf>
    <xf numFmtId="0" fontId="19" fillId="0" borderId="9" xfId="20" applyFont="1" applyBorder="1" applyAlignment="1">
      <alignment horizontal="left" vertical="top" wrapText="1"/>
    </xf>
    <xf numFmtId="0" fontId="19" fillId="0" borderId="10" xfId="20" applyFont="1" applyBorder="1" applyAlignment="1">
      <alignment horizontal="left" vertical="top" wrapText="1"/>
    </xf>
    <xf numFmtId="0" fontId="19" fillId="0" borderId="1" xfId="20" applyFont="1" applyBorder="1" applyAlignment="1">
      <alignment horizontal="left" vertical="top" wrapText="1"/>
    </xf>
    <xf numFmtId="0" fontId="19" fillId="0" borderId="4" xfId="21" applyFont="1" applyBorder="1" applyAlignment="1">
      <alignment horizontal="left" vertical="top" wrapText="1"/>
    </xf>
    <xf numFmtId="0" fontId="19" fillId="0" borderId="22" xfId="0" applyFont="1" applyBorder="1" applyAlignment="1">
      <alignment horizontal="center" vertical="top" wrapText="1"/>
    </xf>
    <xf numFmtId="0" fontId="20" fillId="0" borderId="1" xfId="0" applyFont="1" applyBorder="1" applyAlignment="1">
      <alignment horizontal="center" wrapText="1"/>
    </xf>
    <xf numFmtId="0" fontId="20" fillId="0" borderId="0" xfId="0" applyFont="1" applyAlignment="1">
      <alignment horizontal="center" wrapText="1"/>
    </xf>
    <xf numFmtId="0" fontId="19" fillId="0" borderId="8" xfId="19" applyFont="1" applyBorder="1" applyAlignment="1">
      <alignment horizontal="left" vertical="top" wrapText="1"/>
    </xf>
    <xf numFmtId="0" fontId="19" fillId="0" borderId="6" xfId="19" applyFont="1" applyBorder="1" applyAlignment="1">
      <alignment horizontal="left" vertical="top" wrapText="1"/>
    </xf>
    <xf numFmtId="0" fontId="19" fillId="0" borderId="9" xfId="19" applyFont="1" applyBorder="1" applyAlignment="1">
      <alignment horizontal="left" vertical="top" wrapText="1"/>
    </xf>
    <xf numFmtId="0" fontId="19" fillId="0" borderId="22" xfId="19" applyFont="1" applyBorder="1" applyAlignment="1">
      <alignment horizontal="left" vertical="top" wrapText="1"/>
    </xf>
    <xf numFmtId="0" fontId="19" fillId="0" borderId="10" xfId="19" applyFont="1" applyBorder="1" applyAlignment="1">
      <alignment horizontal="left" vertical="top" wrapText="1"/>
    </xf>
    <xf numFmtId="0" fontId="19" fillId="0" borderId="1" xfId="19" applyFont="1" applyBorder="1" applyAlignment="1">
      <alignment horizontal="left" vertical="top" wrapText="1"/>
    </xf>
    <xf numFmtId="0" fontId="19" fillId="0" borderId="0" xfId="19" applyFont="1" applyAlignment="1">
      <alignment horizontal="left" vertical="top" wrapText="1"/>
    </xf>
    <xf numFmtId="0" fontId="19" fillId="0" borderId="2" xfId="19" applyFont="1" applyBorder="1" applyAlignment="1">
      <alignment horizontal="left" vertical="top" wrapText="1"/>
    </xf>
    <xf numFmtId="0" fontId="19" fillId="0" borderId="23" xfId="19" applyFont="1" applyBorder="1" applyAlignment="1">
      <alignment horizontal="left" vertical="top" wrapText="1"/>
    </xf>
    <xf numFmtId="0" fontId="19" fillId="0" borderId="24" xfId="19" applyFont="1" applyBorder="1" applyAlignment="1">
      <alignment horizontal="left" vertical="top" wrapText="1"/>
    </xf>
    <xf numFmtId="0" fontId="19" fillId="0" borderId="12" xfId="19" applyFont="1" applyBorder="1" applyAlignment="1">
      <alignment horizontal="left" vertical="top" wrapText="1"/>
    </xf>
    <xf numFmtId="0" fontId="11" fillId="0" borderId="10" xfId="19" applyFont="1" applyBorder="1" applyAlignment="1">
      <alignment horizontal="left" vertical="top" wrapText="1"/>
    </xf>
    <xf numFmtId="0" fontId="11" fillId="0" borderId="1" xfId="19" applyFont="1" applyBorder="1" applyAlignment="1">
      <alignment horizontal="left" vertical="top" wrapText="1"/>
    </xf>
    <xf numFmtId="0" fontId="11" fillId="0" borderId="2" xfId="19" applyFont="1" applyBorder="1" applyAlignment="1">
      <alignment horizontal="left" vertical="top" wrapText="1"/>
    </xf>
    <xf numFmtId="0" fontId="11" fillId="0" borderId="23" xfId="19" applyFont="1" applyBorder="1" applyAlignment="1">
      <alignment horizontal="left" vertical="top" wrapText="1"/>
    </xf>
    <xf numFmtId="0" fontId="11" fillId="0" borderId="12" xfId="19" applyFont="1" applyBorder="1" applyAlignment="1">
      <alignment horizontal="left" vertical="top" wrapText="1"/>
    </xf>
    <xf numFmtId="0" fontId="14" fillId="0" borderId="8" xfId="19" applyFont="1" applyBorder="1" applyAlignment="1">
      <alignment horizontal="left" vertical="top" wrapText="1"/>
    </xf>
    <xf numFmtId="0" fontId="1" fillId="0" borderId="3" xfId="19" applyBorder="1" applyAlignment="1">
      <alignment horizontal="left" vertical="top" wrapText="1"/>
    </xf>
    <xf numFmtId="0" fontId="1" fillId="0" borderId="6" xfId="19" applyBorder="1" applyAlignment="1">
      <alignment horizontal="left" vertical="top" wrapText="1"/>
    </xf>
    <xf numFmtId="0" fontId="11" fillId="0" borderId="3" xfId="19" applyFont="1" applyBorder="1" applyAlignment="1">
      <alignment horizontal="left" vertical="top" wrapText="1"/>
    </xf>
    <xf numFmtId="0" fontId="11" fillId="0" borderId="6" xfId="19" applyFont="1" applyBorder="1" applyAlignment="1">
      <alignment horizontal="left" vertical="top" wrapText="1"/>
    </xf>
    <xf numFmtId="0" fontId="23" fillId="0" borderId="8" xfId="19" applyFont="1" applyBorder="1" applyAlignment="1">
      <alignment horizontal="center" textRotation="90" wrapText="1"/>
    </xf>
    <xf numFmtId="0" fontId="23" fillId="0" borderId="3" xfId="19" applyFont="1" applyBorder="1" applyAlignment="1">
      <alignment horizontal="center" textRotation="90" wrapText="1"/>
    </xf>
    <xf numFmtId="0" fontId="23" fillId="0" borderId="6" xfId="19" applyFont="1" applyBorder="1" applyAlignment="1">
      <alignment horizontal="center" textRotation="90" wrapText="1"/>
    </xf>
    <xf numFmtId="0" fontId="23" fillId="2" borderId="37" xfId="17" applyFont="1" applyFill="1" applyBorder="1" applyAlignment="1">
      <alignment horizontal="center" vertical="center"/>
    </xf>
    <xf numFmtId="0" fontId="23" fillId="2" borderId="36" xfId="17" applyFont="1" applyFill="1" applyBorder="1" applyAlignment="1">
      <alignment horizontal="center" vertical="center"/>
    </xf>
    <xf numFmtId="0" fontId="23" fillId="2" borderId="5" xfId="17" applyFont="1" applyFill="1" applyBorder="1" applyAlignment="1">
      <alignment horizontal="center" vertical="center"/>
    </xf>
    <xf numFmtId="0" fontId="11" fillId="0" borderId="4" xfId="19" applyFont="1" applyBorder="1" applyAlignment="1">
      <alignment horizontal="left" vertical="top" wrapText="1"/>
    </xf>
    <xf numFmtId="0" fontId="19" fillId="0" borderId="9" xfId="19" applyFont="1" applyBorder="1" applyAlignment="1">
      <alignment horizontal="center" vertical="top" wrapText="1"/>
    </xf>
    <xf numFmtId="0" fontId="19" fillId="0" borderId="22" xfId="19" applyFont="1" applyBorder="1" applyAlignment="1">
      <alignment horizontal="center" vertical="top" wrapText="1"/>
    </xf>
    <xf numFmtId="0" fontId="19" fillId="0" borderId="10" xfId="19" applyFont="1" applyBorder="1" applyAlignment="1">
      <alignment horizontal="center" vertical="top" wrapText="1"/>
    </xf>
    <xf numFmtId="0" fontId="19" fillId="0" borderId="1" xfId="19" applyFont="1" applyBorder="1" applyAlignment="1">
      <alignment horizontal="center" vertical="top" wrapText="1"/>
    </xf>
    <xf numFmtId="0" fontId="19" fillId="0" borderId="0" xfId="19" applyFont="1" applyAlignment="1">
      <alignment horizontal="center" vertical="top" wrapText="1"/>
    </xf>
    <xf numFmtId="0" fontId="19" fillId="0" borderId="2" xfId="19" applyFont="1" applyBorder="1" applyAlignment="1">
      <alignment horizontal="center" vertical="top" wrapText="1"/>
    </xf>
    <xf numFmtId="0" fontId="20" fillId="0" borderId="1" xfId="0" applyFont="1" applyBorder="1" applyAlignment="1">
      <alignment horizontal="left" wrapText="1"/>
    </xf>
    <xf numFmtId="0" fontId="20" fillId="0" borderId="0" xfId="0" applyFont="1" applyAlignment="1">
      <alignment horizontal="left" wrapText="1"/>
    </xf>
    <xf numFmtId="0" fontId="4" fillId="0" borderId="0" xfId="19" applyFont="1" applyAlignment="1">
      <alignment horizontal="left" wrapText="1"/>
    </xf>
    <xf numFmtId="0" fontId="4" fillId="0" borderId="24" xfId="19" applyFont="1" applyBorder="1" applyAlignment="1">
      <alignment horizontal="left" wrapText="1"/>
    </xf>
    <xf numFmtId="0" fontId="19" fillId="0" borderId="8" xfId="20" applyFont="1" applyBorder="1" applyAlignment="1">
      <alignment horizontal="left" vertical="top" wrapText="1"/>
    </xf>
    <xf numFmtId="0" fontId="19" fillId="0" borderId="3" xfId="20" applyFont="1" applyBorder="1" applyAlignment="1">
      <alignment horizontal="left" vertical="top" wrapText="1"/>
    </xf>
    <xf numFmtId="0" fontId="19" fillId="0" borderId="6" xfId="20" applyFont="1" applyBorder="1" applyAlignment="1">
      <alignment horizontal="left" vertical="top" wrapText="1"/>
    </xf>
    <xf numFmtId="167" fontId="23" fillId="0" borderId="9" xfId="0" applyNumberFormat="1" applyFont="1" applyBorder="1" applyAlignment="1">
      <alignment horizontal="center" vertical="top" wrapText="1"/>
    </xf>
    <xf numFmtId="167" fontId="23" fillId="0" borderId="10" xfId="0" applyNumberFormat="1" applyFont="1" applyBorder="1" applyAlignment="1">
      <alignment horizontal="center" vertical="top" wrapText="1"/>
    </xf>
    <xf numFmtId="167" fontId="23" fillId="0" borderId="22" xfId="0" applyNumberFormat="1" applyFont="1" applyBorder="1" applyAlignment="1">
      <alignment horizontal="center" vertical="top" wrapText="1"/>
    </xf>
    <xf numFmtId="167" fontId="23" fillId="0" borderId="37" xfId="0" applyNumberFormat="1" applyFont="1" applyBorder="1" applyAlignment="1">
      <alignment horizontal="center" vertical="top" wrapText="1"/>
    </xf>
    <xf numFmtId="167" fontId="23" fillId="0" borderId="36" xfId="0" applyNumberFormat="1" applyFont="1" applyBorder="1" applyAlignment="1">
      <alignment horizontal="center" vertical="top" wrapText="1"/>
    </xf>
    <xf numFmtId="0" fontId="19" fillId="0" borderId="6" xfId="0" applyFont="1" applyBorder="1" applyAlignment="1">
      <alignment horizontal="center" vertical="top" wrapText="1"/>
    </xf>
    <xf numFmtId="0" fontId="19" fillId="0" borderId="36" xfId="0" applyFont="1" applyBorder="1" applyAlignment="1">
      <alignment horizontal="center" vertical="top" wrapText="1"/>
    </xf>
    <xf numFmtId="167" fontId="23" fillId="0" borderId="5" xfId="0" applyNumberFormat="1" applyFont="1" applyBorder="1" applyAlignment="1">
      <alignment horizontal="center" vertical="top" wrapText="1"/>
    </xf>
    <xf numFmtId="0" fontId="19" fillId="0" borderId="36" xfId="0" applyFont="1" applyBorder="1" applyAlignment="1">
      <alignment horizontal="left" vertical="top" wrapText="1"/>
    </xf>
    <xf numFmtId="0" fontId="42" fillId="0" borderId="24" xfId="0" applyFont="1" applyBorder="1" applyAlignment="1">
      <alignment horizontal="center"/>
    </xf>
    <xf numFmtId="0" fontId="42" fillId="0" borderId="9" xfId="0" applyFont="1" applyBorder="1" applyAlignment="1">
      <alignment horizontal="left" vertical="top" wrapText="1"/>
    </xf>
    <xf numFmtId="0" fontId="42" fillId="0" borderId="22" xfId="0" applyFont="1" applyBorder="1" applyAlignment="1">
      <alignment horizontal="left" vertical="top" wrapText="1"/>
    </xf>
    <xf numFmtId="0" fontId="42" fillId="0" borderId="10" xfId="0" applyFont="1" applyBorder="1" applyAlignment="1">
      <alignment horizontal="left" vertical="top" wrapText="1"/>
    </xf>
    <xf numFmtId="0" fontId="42" fillId="0" borderId="1" xfId="0" applyFont="1" applyBorder="1" applyAlignment="1">
      <alignment horizontal="left" vertical="top" wrapText="1"/>
    </xf>
    <xf numFmtId="0" fontId="42" fillId="0" borderId="0" xfId="0" applyFont="1" applyAlignment="1">
      <alignment horizontal="left" vertical="top" wrapText="1"/>
    </xf>
    <xf numFmtId="0" fontId="42" fillId="0" borderId="2" xfId="0" applyFont="1" applyBorder="1" applyAlignment="1">
      <alignment horizontal="left" vertical="top" wrapText="1"/>
    </xf>
    <xf numFmtId="0" fontId="42" fillId="0" borderId="23" xfId="0" applyFont="1" applyBorder="1" applyAlignment="1">
      <alignment horizontal="left" vertical="top" wrapText="1"/>
    </xf>
    <xf numFmtId="0" fontId="42" fillId="0" borderId="24" xfId="0" applyFont="1" applyBorder="1" applyAlignment="1">
      <alignment horizontal="left" vertical="top" wrapText="1"/>
    </xf>
    <xf numFmtId="0" fontId="42" fillId="0" borderId="12" xfId="0" applyFont="1" applyBorder="1" applyAlignment="1">
      <alignment horizontal="left" vertical="top" wrapText="1"/>
    </xf>
    <xf numFmtId="0" fontId="42" fillId="0" borderId="37" xfId="0" applyFont="1" applyBorder="1" applyAlignment="1">
      <alignment horizontal="center"/>
    </xf>
    <xf numFmtId="0" fontId="42" fillId="0" borderId="36" xfId="0" applyFont="1" applyBorder="1" applyAlignment="1">
      <alignment horizontal="center"/>
    </xf>
    <xf numFmtId="0" fontId="42" fillId="0" borderId="5" xfId="0" applyFont="1" applyBorder="1" applyAlignment="1">
      <alignment horizontal="center"/>
    </xf>
    <xf numFmtId="167" fontId="44" fillId="0" borderId="0" xfId="17" applyNumberFormat="1" applyFont="1" applyAlignment="1">
      <alignment horizontal="left"/>
    </xf>
    <xf numFmtId="0" fontId="42" fillId="0" borderId="9" xfId="0" applyFont="1" applyBorder="1" applyAlignment="1">
      <alignment horizontal="center" wrapText="1"/>
    </xf>
    <xf numFmtId="0" fontId="42" fillId="0" borderId="22" xfId="0" applyFont="1" applyBorder="1" applyAlignment="1">
      <alignment horizontal="center" wrapText="1"/>
    </xf>
    <xf numFmtId="0" fontId="42" fillId="0" borderId="23" xfId="0" applyFont="1" applyBorder="1" applyAlignment="1">
      <alignment horizontal="center" wrapText="1"/>
    </xf>
    <xf numFmtId="0" fontId="42" fillId="0" borderId="24" xfId="0" applyFont="1" applyBorder="1" applyAlignment="1">
      <alignment horizontal="center" wrapText="1"/>
    </xf>
    <xf numFmtId="0" fontId="42" fillId="0" borderId="9" xfId="0" applyFont="1" applyBorder="1" applyAlignment="1">
      <alignment horizontal="center" vertical="top" wrapText="1"/>
    </xf>
    <xf numFmtId="0" fontId="42" fillId="0" borderId="22" xfId="0" applyFont="1" applyBorder="1" applyAlignment="1">
      <alignment horizontal="center" vertical="top" wrapText="1"/>
    </xf>
    <xf numFmtId="0" fontId="42" fillId="0" borderId="10" xfId="0" applyFont="1" applyBorder="1" applyAlignment="1">
      <alignment horizontal="center" vertical="top" wrapText="1"/>
    </xf>
    <xf numFmtId="0" fontId="42" fillId="0" borderId="1" xfId="0" applyFont="1" applyBorder="1" applyAlignment="1">
      <alignment horizontal="center" vertical="top" wrapText="1"/>
    </xf>
    <xf numFmtId="0" fontId="42" fillId="0" borderId="0" xfId="0" applyFont="1" applyAlignment="1">
      <alignment horizontal="center" vertical="top" wrapText="1"/>
    </xf>
    <xf numFmtId="0" fontId="42" fillId="0" borderId="2" xfId="0" applyFont="1" applyBorder="1" applyAlignment="1">
      <alignment horizontal="center" vertical="top" wrapText="1"/>
    </xf>
    <xf numFmtId="0" fontId="42" fillId="0" borderId="23" xfId="0" applyFont="1" applyBorder="1" applyAlignment="1">
      <alignment horizontal="center" vertical="top" wrapText="1"/>
    </xf>
    <xf numFmtId="0" fontId="42" fillId="0" borderId="24" xfId="0" applyFont="1" applyBorder="1" applyAlignment="1">
      <alignment horizontal="center" vertical="top" wrapText="1"/>
    </xf>
    <xf numFmtId="0" fontId="42" fillId="0" borderId="12" xfId="0" applyFont="1" applyBorder="1" applyAlignment="1">
      <alignment horizontal="center" vertical="top" wrapText="1"/>
    </xf>
    <xf numFmtId="0" fontId="19" fillId="5" borderId="0" xfId="0" applyFont="1" applyFill="1" applyAlignment="1">
      <alignment horizontal="center"/>
    </xf>
    <xf numFmtId="0" fontId="19" fillId="0" borderId="22" xfId="0" applyFont="1" applyBorder="1" applyAlignment="1">
      <alignment horizontal="left" wrapText="1"/>
    </xf>
    <xf numFmtId="0" fontId="30" fillId="5" borderId="0" xfId="0" applyFont="1" applyFill="1" applyAlignment="1">
      <alignment horizontal="center" vertical="top" wrapText="1"/>
    </xf>
    <xf numFmtId="0" fontId="19" fillId="5" borderId="9" xfId="0" applyFont="1" applyFill="1" applyBorder="1" applyAlignment="1">
      <alignment horizontal="left" vertical="top" wrapText="1"/>
    </xf>
    <xf numFmtId="0" fontId="19" fillId="5" borderId="22" xfId="0" applyFont="1" applyFill="1" applyBorder="1" applyAlignment="1">
      <alignment horizontal="left" vertical="top" wrapText="1"/>
    </xf>
    <xf numFmtId="0" fontId="19" fillId="5" borderId="23" xfId="0" applyFont="1" applyFill="1" applyBorder="1" applyAlignment="1">
      <alignment horizontal="left" vertical="top" wrapText="1"/>
    </xf>
    <xf numFmtId="0" fontId="19" fillId="5" borderId="24" xfId="0" applyFont="1" applyFill="1" applyBorder="1" applyAlignment="1">
      <alignment horizontal="left" vertical="top" wrapText="1"/>
    </xf>
    <xf numFmtId="0" fontId="19" fillId="5" borderId="4" xfId="0" applyFont="1" applyFill="1" applyBorder="1" applyAlignment="1">
      <alignment horizontal="center" wrapText="1"/>
    </xf>
    <xf numFmtId="0" fontId="19" fillId="0" borderId="4" xfId="0" applyFont="1" applyBorder="1" applyAlignment="1">
      <alignment horizontal="center" wrapText="1"/>
    </xf>
    <xf numFmtId="167" fontId="23" fillId="5" borderId="0" xfId="17" applyNumberFormat="1" applyFont="1" applyFill="1" applyAlignment="1">
      <alignment horizontal="center"/>
    </xf>
    <xf numFmtId="0" fontId="19" fillId="5" borderId="37" xfId="0" applyFont="1" applyFill="1" applyBorder="1" applyAlignment="1">
      <alignment horizontal="center" wrapText="1"/>
    </xf>
    <xf numFmtId="0" fontId="19" fillId="5" borderId="36" xfId="0" applyFont="1" applyFill="1" applyBorder="1" applyAlignment="1">
      <alignment horizontal="center" wrapText="1"/>
    </xf>
    <xf numFmtId="0" fontId="19" fillId="5" borderId="5" xfId="0" applyFont="1" applyFill="1" applyBorder="1" applyAlignment="1">
      <alignment horizontal="center" wrapText="1"/>
    </xf>
    <xf numFmtId="0" fontId="19" fillId="5" borderId="22" xfId="0" applyFont="1" applyFill="1" applyBorder="1" applyAlignment="1">
      <alignment horizontal="left" wrapText="1"/>
    </xf>
    <xf numFmtId="167" fontId="23" fillId="5" borderId="24" xfId="17" applyNumberFormat="1" applyFont="1" applyFill="1" applyBorder="1" applyAlignment="1">
      <alignment horizontal="left"/>
    </xf>
    <xf numFmtId="0" fontId="42" fillId="0" borderId="4" xfId="0" applyFont="1" applyBorder="1" applyAlignment="1">
      <alignment horizontal="center" wrapText="1"/>
    </xf>
    <xf numFmtId="0" fontId="19" fillId="5" borderId="9" xfId="0" applyFont="1" applyFill="1" applyBorder="1" applyAlignment="1">
      <alignment horizontal="center" wrapText="1"/>
    </xf>
    <xf numFmtId="0" fontId="19" fillId="5" borderId="22" xfId="0" applyFont="1" applyFill="1" applyBorder="1" applyAlignment="1">
      <alignment horizontal="center" wrapText="1"/>
    </xf>
    <xf numFmtId="0" fontId="19" fillId="5" borderId="10" xfId="0" applyFont="1" applyFill="1" applyBorder="1" applyAlignment="1">
      <alignment horizontal="center" wrapText="1"/>
    </xf>
    <xf numFmtId="0" fontId="19" fillId="5" borderId="23" xfId="0" applyFont="1" applyFill="1" applyBorder="1" applyAlignment="1">
      <alignment horizontal="center" wrapText="1"/>
    </xf>
    <xf numFmtId="0" fontId="19" fillId="5" borderId="24" xfId="0" applyFont="1" applyFill="1" applyBorder="1" applyAlignment="1">
      <alignment horizontal="center" wrapText="1"/>
    </xf>
    <xf numFmtId="0" fontId="19" fillId="5" borderId="12" xfId="0" applyFont="1" applyFill="1" applyBorder="1" applyAlignment="1">
      <alignment horizontal="center" wrapText="1"/>
    </xf>
    <xf numFmtId="0" fontId="19" fillId="5" borderId="4" xfId="0" applyFont="1" applyFill="1" applyBorder="1" applyAlignment="1">
      <alignment horizontal="left" vertical="top" wrapText="1"/>
    </xf>
    <xf numFmtId="0" fontId="42" fillId="0" borderId="9" xfId="0" applyFont="1" applyBorder="1" applyAlignment="1">
      <alignment horizontal="left" vertical="center" wrapText="1"/>
    </xf>
    <xf numFmtId="0" fontId="42" fillId="0" borderId="22" xfId="0" applyFont="1" applyBorder="1" applyAlignment="1">
      <alignment horizontal="left" vertical="center" wrapText="1"/>
    </xf>
    <xf numFmtId="0" fontId="42" fillId="0" borderId="10" xfId="0" applyFont="1" applyBorder="1" applyAlignment="1">
      <alignment horizontal="left" vertical="center" wrapText="1"/>
    </xf>
    <xf numFmtId="0" fontId="42" fillId="0" borderId="1" xfId="0" applyFont="1" applyBorder="1" applyAlignment="1">
      <alignment horizontal="left" vertical="center" wrapText="1"/>
    </xf>
    <xf numFmtId="0" fontId="42" fillId="0" borderId="0" xfId="0" applyFont="1" applyAlignment="1">
      <alignment horizontal="left" vertical="center" wrapText="1"/>
    </xf>
    <xf numFmtId="0" fontId="42" fillId="0" borderId="2" xfId="0" applyFont="1" applyBorder="1" applyAlignment="1">
      <alignment horizontal="left" vertical="center" wrapText="1"/>
    </xf>
    <xf numFmtId="0" fontId="19" fillId="5" borderId="23" xfId="0" applyFont="1" applyFill="1" applyBorder="1" applyAlignment="1">
      <alignment horizontal="center"/>
    </xf>
    <xf numFmtId="0" fontId="19" fillId="5" borderId="24" xfId="0" applyFont="1" applyFill="1" applyBorder="1" applyAlignment="1">
      <alignment horizontal="center"/>
    </xf>
    <xf numFmtId="0" fontId="19" fillId="5" borderId="12" xfId="0" applyFont="1" applyFill="1" applyBorder="1" applyAlignment="1">
      <alignment horizontal="center"/>
    </xf>
    <xf numFmtId="0" fontId="19" fillId="0" borderId="37" xfId="0" applyFont="1" applyBorder="1" applyAlignment="1">
      <alignment horizontal="center" wrapText="1"/>
    </xf>
    <xf numFmtId="0" fontId="19" fillId="0" borderId="36" xfId="0" applyFont="1" applyBorder="1" applyAlignment="1">
      <alignment horizontal="center" wrapText="1"/>
    </xf>
    <xf numFmtId="0" fontId="19" fillId="0" borderId="5" xfId="0" applyFont="1" applyBorder="1" applyAlignment="1">
      <alignment horizontal="center" wrapText="1"/>
    </xf>
    <xf numFmtId="0" fontId="42" fillId="0" borderId="37" xfId="0" applyFont="1" applyBorder="1" applyAlignment="1">
      <alignment horizontal="center" wrapText="1"/>
    </xf>
    <xf numFmtId="0" fontId="42" fillId="0" borderId="36" xfId="0" applyFont="1" applyBorder="1" applyAlignment="1">
      <alignment horizontal="center" wrapText="1"/>
    </xf>
    <xf numFmtId="0" fontId="42" fillId="0" borderId="5" xfId="0" applyFont="1" applyBorder="1" applyAlignment="1">
      <alignment horizontal="center" wrapText="1"/>
    </xf>
    <xf numFmtId="167" fontId="23" fillId="0" borderId="24" xfId="17" applyNumberFormat="1" applyFont="1" applyBorder="1" applyAlignment="1">
      <alignment horizontal="center"/>
    </xf>
    <xf numFmtId="0" fontId="19" fillId="0" borderId="0" xfId="0" applyFont="1" applyAlignment="1">
      <alignment horizontal="center"/>
    </xf>
    <xf numFmtId="0" fontId="8" fillId="0" borderId="6" xfId="0" applyFont="1" applyBorder="1" applyAlignment="1">
      <alignment horizontal="left" vertical="top" wrapText="1"/>
    </xf>
    <xf numFmtId="0" fontId="8" fillId="0" borderId="9" xfId="0" applyFont="1" applyBorder="1" applyAlignment="1">
      <alignment horizontal="left" vertical="top" wrapText="1"/>
    </xf>
    <xf numFmtId="0" fontId="8" fillId="0" borderId="1" xfId="0" applyFont="1" applyBorder="1" applyAlignment="1">
      <alignment horizontal="left" vertical="top" wrapText="1"/>
    </xf>
    <xf numFmtId="0" fontId="8" fillId="0" borderId="23" xfId="0" applyFont="1" applyBorder="1" applyAlignment="1">
      <alignment horizontal="left" vertical="top" wrapText="1"/>
    </xf>
    <xf numFmtId="167" fontId="23" fillId="0" borderId="37" xfId="0" applyNumberFormat="1" applyFont="1" applyBorder="1" applyAlignment="1">
      <alignment horizontal="left" vertical="top" wrapText="1"/>
    </xf>
    <xf numFmtId="167" fontId="23" fillId="0" borderId="5" xfId="0" applyNumberFormat="1" applyFont="1" applyBorder="1" applyAlignment="1">
      <alignment horizontal="left" vertical="top" wrapText="1"/>
    </xf>
    <xf numFmtId="0" fontId="8" fillId="0" borderId="4" xfId="0" applyFont="1" applyBorder="1" applyAlignment="1">
      <alignment horizontal="left" vertical="top" wrapText="1"/>
    </xf>
    <xf numFmtId="0" fontId="8" fillId="0" borderId="10" xfId="0" applyFont="1" applyBorder="1" applyAlignment="1">
      <alignment horizontal="left" vertical="top" wrapText="1"/>
    </xf>
    <xf numFmtId="0" fontId="8" fillId="0" borderId="2" xfId="0" applyFont="1" applyBorder="1" applyAlignment="1">
      <alignment horizontal="left" vertical="top" wrapText="1"/>
    </xf>
    <xf numFmtId="0" fontId="23" fillId="0" borderId="0" xfId="19" applyFont="1" applyAlignment="1">
      <alignment horizontal="center" wrapText="1"/>
    </xf>
    <xf numFmtId="0" fontId="19" fillId="0" borderId="128" xfId="19" applyFont="1" applyBorder="1" applyAlignment="1">
      <alignment horizontal="left" vertical="top" wrapText="1"/>
    </xf>
    <xf numFmtId="0" fontId="19" fillId="0" borderId="105" xfId="19" applyFont="1" applyBorder="1" applyAlignment="1">
      <alignment horizontal="left" vertical="top" wrapText="1"/>
    </xf>
    <xf numFmtId="0" fontId="20" fillId="0" borderId="144" xfId="19" applyFont="1" applyBorder="1" applyAlignment="1">
      <alignment horizontal="center"/>
    </xf>
    <xf numFmtId="0" fontId="20" fillId="0" borderId="12" xfId="19" applyFont="1" applyBorder="1" applyAlignment="1">
      <alignment horizontal="center"/>
    </xf>
    <xf numFmtId="0" fontId="20" fillId="0" borderId="115" xfId="19" applyFont="1" applyBorder="1" applyAlignment="1">
      <alignment horizontal="center"/>
    </xf>
    <xf numFmtId="0" fontId="20" fillId="0" borderId="6" xfId="19" applyFont="1" applyBorder="1" applyAlignment="1">
      <alignment horizontal="center"/>
    </xf>
    <xf numFmtId="0" fontId="19" fillId="0" borderId="115" xfId="19" applyFont="1" applyBorder="1" applyAlignment="1">
      <alignment horizontal="center" vertical="top" wrapText="1"/>
    </xf>
    <xf numFmtId="0" fontId="19" fillId="0" borderId="6" xfId="19" applyFont="1" applyBorder="1" applyAlignment="1">
      <alignment horizontal="center" vertical="top" wrapText="1"/>
    </xf>
    <xf numFmtId="0" fontId="19" fillId="0" borderId="114" xfId="19" applyFont="1" applyBorder="1" applyAlignment="1">
      <alignment horizontal="center" vertical="top" wrapText="1"/>
    </xf>
    <xf numFmtId="0" fontId="19" fillId="0" borderId="139" xfId="19" applyFont="1" applyBorder="1" applyAlignment="1">
      <alignment horizontal="center" vertical="top" wrapText="1"/>
    </xf>
    <xf numFmtId="0" fontId="19" fillId="0" borderId="101" xfId="19" applyFont="1" applyBorder="1" applyAlignment="1">
      <alignment horizontal="left" vertical="top" wrapText="1"/>
    </xf>
    <xf numFmtId="0" fontId="19" fillId="0" borderId="104" xfId="19" applyFont="1" applyBorder="1" applyAlignment="1">
      <alignment horizontal="left" vertical="top" wrapText="1"/>
    </xf>
    <xf numFmtId="0" fontId="19" fillId="0" borderId="109" xfId="19" applyFont="1" applyBorder="1" applyAlignment="1">
      <alignment horizontal="left" vertical="top" wrapText="1"/>
    </xf>
    <xf numFmtId="0" fontId="19" fillId="0" borderId="110" xfId="19" applyFont="1" applyBorder="1" applyAlignment="1">
      <alignment horizontal="left" vertical="top" wrapText="1"/>
    </xf>
    <xf numFmtId="0" fontId="23" fillId="0" borderId="44" xfId="19" applyFont="1" applyBorder="1" applyAlignment="1">
      <alignment horizontal="center" vertical="top"/>
    </xf>
    <xf numFmtId="0" fontId="23" fillId="0" borderId="46" xfId="19" applyFont="1" applyBorder="1" applyAlignment="1">
      <alignment horizontal="center" vertical="top"/>
    </xf>
    <xf numFmtId="0" fontId="23" fillId="0" borderId="157" xfId="19" applyFont="1" applyBorder="1" applyAlignment="1">
      <alignment horizontal="center" vertical="top"/>
    </xf>
    <xf numFmtId="0" fontId="23" fillId="0" borderId="159" xfId="19" applyFont="1" applyBorder="1" applyAlignment="1">
      <alignment horizontal="center" vertical="top" wrapText="1"/>
    </xf>
    <xf numFmtId="0" fontId="23" fillId="0" borderId="160" xfId="19" applyFont="1" applyBorder="1" applyAlignment="1">
      <alignment horizontal="center" vertical="top" wrapText="1"/>
    </xf>
    <xf numFmtId="0" fontId="23" fillId="0" borderId="161" xfId="19" applyFont="1" applyBorder="1" applyAlignment="1">
      <alignment horizontal="center" vertical="top" wrapText="1"/>
    </xf>
    <xf numFmtId="0" fontId="23" fillId="0" borderId="162" xfId="19" applyFont="1" applyBorder="1" applyAlignment="1">
      <alignment horizontal="center" vertical="top" wrapText="1"/>
    </xf>
    <xf numFmtId="0" fontId="19" fillId="0" borderId="110" xfId="19" applyFont="1" applyBorder="1" applyAlignment="1">
      <alignment horizontal="center" vertical="center" textRotation="90" wrapText="1"/>
    </xf>
    <xf numFmtId="0" fontId="19" fillId="0" borderId="111" xfId="19" applyFont="1" applyBorder="1" applyAlignment="1">
      <alignment horizontal="center" vertical="center" textRotation="90" wrapText="1"/>
    </xf>
    <xf numFmtId="0" fontId="50" fillId="0" borderId="110" xfId="19" applyFont="1" applyBorder="1" applyAlignment="1">
      <alignment horizontal="center" textRotation="90" wrapText="1"/>
    </xf>
    <xf numFmtId="0" fontId="50" fillId="0" borderId="111" xfId="19" applyFont="1" applyBorder="1" applyAlignment="1">
      <alignment horizontal="center" textRotation="90" wrapText="1"/>
    </xf>
    <xf numFmtId="0" fontId="50" fillId="0" borderId="114" xfId="19" applyFont="1" applyBorder="1" applyAlignment="1">
      <alignment horizontal="center" textRotation="90" wrapText="1"/>
    </xf>
    <xf numFmtId="0" fontId="50" fillId="0" borderId="132" xfId="19" applyFont="1" applyBorder="1" applyAlignment="1">
      <alignment horizontal="center" textRotation="90" wrapText="1"/>
    </xf>
    <xf numFmtId="0" fontId="50" fillId="0" borderId="112" xfId="19" applyFont="1" applyBorder="1" applyAlignment="1">
      <alignment horizontal="center" textRotation="90" wrapText="1"/>
    </xf>
    <xf numFmtId="0" fontId="50" fillId="0" borderId="131" xfId="19" applyFont="1" applyBorder="1" applyAlignment="1">
      <alignment horizontal="center" textRotation="90" wrapText="1"/>
    </xf>
    <xf numFmtId="0" fontId="19" fillId="0" borderId="101" xfId="19" applyFont="1" applyBorder="1" applyAlignment="1">
      <alignment horizontal="left" textRotation="90" wrapText="1"/>
    </xf>
    <xf numFmtId="0" fontId="19" fillId="0" borderId="103" xfId="19" applyFont="1" applyBorder="1" applyAlignment="1">
      <alignment horizontal="left" textRotation="90" wrapText="1"/>
    </xf>
    <xf numFmtId="0" fontId="19" fillId="0" borderId="104" xfId="19" applyFont="1" applyBorder="1" applyAlignment="1">
      <alignment horizontal="left" textRotation="90" wrapText="1"/>
    </xf>
    <xf numFmtId="0" fontId="19" fillId="0" borderId="105" xfId="19" applyFont="1" applyBorder="1" applyAlignment="1">
      <alignment horizontal="left" textRotation="90" wrapText="1"/>
    </xf>
    <xf numFmtId="0" fontId="19" fillId="0" borderId="106" xfId="19" applyFont="1" applyBorder="1" applyAlignment="1">
      <alignment horizontal="left" textRotation="90" wrapText="1"/>
    </xf>
    <xf numFmtId="0" fontId="19" fillId="0" borderId="108" xfId="19" applyFont="1" applyBorder="1" applyAlignment="1">
      <alignment horizontal="left" textRotation="90" wrapText="1"/>
    </xf>
    <xf numFmtId="0" fontId="19" fillId="0" borderId="104" xfId="19" applyFont="1" applyBorder="1" applyAlignment="1">
      <alignment horizontal="center" textRotation="90" wrapText="1"/>
    </xf>
    <xf numFmtId="0" fontId="19" fillId="0" borderId="106" xfId="19" applyFont="1" applyBorder="1" applyAlignment="1">
      <alignment horizontal="center" textRotation="90" wrapText="1"/>
    </xf>
    <xf numFmtId="0" fontId="19" fillId="0" borderId="110" xfId="19" applyFont="1" applyBorder="1" applyAlignment="1">
      <alignment horizontal="center" textRotation="90" wrapText="1"/>
    </xf>
    <xf numFmtId="0" fontId="19" fillId="0" borderId="111" xfId="19" applyFont="1" applyBorder="1" applyAlignment="1">
      <alignment horizontal="center" textRotation="90" wrapText="1"/>
    </xf>
    <xf numFmtId="0" fontId="50" fillId="0" borderId="8" xfId="19" applyFont="1" applyBorder="1" applyAlignment="1">
      <alignment horizontal="center" vertical="center" textRotation="90" wrapText="1"/>
    </xf>
    <xf numFmtId="0" fontId="50" fillId="0" borderId="3" xfId="19" applyFont="1" applyBorder="1" applyAlignment="1">
      <alignment horizontal="center" vertical="center" textRotation="90" wrapText="1"/>
    </xf>
    <xf numFmtId="0" fontId="50" fillId="0" borderId="98" xfId="19" applyFont="1" applyBorder="1" applyAlignment="1">
      <alignment horizontal="center" vertical="center" textRotation="90" wrapText="1"/>
    </xf>
    <xf numFmtId="0" fontId="19" fillId="0" borderId="153" xfId="19" applyFont="1" applyBorder="1" applyAlignment="1">
      <alignment horizontal="left" textRotation="90" wrapText="1"/>
    </xf>
    <xf numFmtId="0" fontId="19" fillId="0" borderId="1" xfId="19" applyFont="1" applyBorder="1" applyAlignment="1">
      <alignment horizontal="left" textRotation="90" wrapText="1"/>
    </xf>
    <xf numFmtId="0" fontId="19" fillId="0" borderId="155" xfId="19" applyFont="1" applyBorder="1" applyAlignment="1">
      <alignment horizontal="left" textRotation="90" wrapText="1"/>
    </xf>
    <xf numFmtId="0" fontId="19" fillId="0" borderId="101" xfId="19" applyFont="1" applyBorder="1" applyAlignment="1">
      <alignment horizontal="center" vertical="center" textRotation="90"/>
    </xf>
    <xf numFmtId="0" fontId="19" fillId="0" borderId="103" xfId="19" applyFont="1" applyBorder="1" applyAlignment="1">
      <alignment horizontal="center" vertical="center" textRotation="90"/>
    </xf>
    <xf numFmtId="0" fontId="19" fillId="0" borderId="104" xfId="19" applyFont="1" applyBorder="1" applyAlignment="1">
      <alignment horizontal="center" vertical="center" textRotation="90"/>
    </xf>
    <xf numFmtId="0" fontId="19" fillId="0" borderId="105" xfId="19" applyFont="1" applyBorder="1" applyAlignment="1">
      <alignment horizontal="center" vertical="center" textRotation="90"/>
    </xf>
    <xf numFmtId="0" fontId="19" fillId="0" borderId="101" xfId="19" applyFont="1" applyBorder="1" applyAlignment="1">
      <alignment horizontal="center" vertical="center" textRotation="90" wrapText="1"/>
    </xf>
    <xf numFmtId="0" fontId="19" fillId="0" borderId="103" xfId="19" applyFont="1" applyBorder="1" applyAlignment="1">
      <alignment horizontal="center" vertical="center" textRotation="90" wrapText="1"/>
    </xf>
    <xf numFmtId="0" fontId="19" fillId="0" borderId="104" xfId="19" applyFont="1" applyBorder="1" applyAlignment="1">
      <alignment horizontal="center" vertical="center" textRotation="90" wrapText="1"/>
    </xf>
    <xf numFmtId="0" fontId="19" fillId="0" borderId="105" xfId="19" applyFont="1" applyBorder="1" applyAlignment="1">
      <alignment horizontal="center" vertical="center" textRotation="90" wrapText="1"/>
    </xf>
    <xf numFmtId="0" fontId="50" fillId="0" borderId="1" xfId="19" applyFont="1" applyBorder="1" applyAlignment="1">
      <alignment horizontal="center"/>
    </xf>
    <xf numFmtId="0" fontId="50" fillId="0" borderId="0" xfId="19" applyFont="1" applyAlignment="1">
      <alignment horizontal="center"/>
    </xf>
    <xf numFmtId="0" fontId="50" fillId="0" borderId="23" xfId="19" applyFont="1" applyBorder="1" applyAlignment="1">
      <alignment horizontal="center"/>
    </xf>
    <xf numFmtId="0" fontId="50" fillId="0" borderId="24" xfId="19" applyFont="1" applyBorder="1" applyAlignment="1">
      <alignment horizontal="center"/>
    </xf>
    <xf numFmtId="0" fontId="50" fillId="0" borderId="0" xfId="19" applyFont="1" applyAlignment="1">
      <alignment horizontal="center" wrapText="1"/>
    </xf>
    <xf numFmtId="0" fontId="50" fillId="0" borderId="24" xfId="19" applyFont="1" applyBorder="1" applyAlignment="1">
      <alignment horizontal="center" wrapText="1"/>
    </xf>
    <xf numFmtId="0" fontId="19" fillId="0" borderId="102" xfId="19" applyFont="1" applyBorder="1" applyAlignment="1">
      <alignment horizontal="center" vertical="center" textRotation="90"/>
    </xf>
    <xf numFmtId="0" fontId="19" fillId="0" borderId="0" xfId="19" applyFont="1" applyAlignment="1">
      <alignment horizontal="center" vertical="center" textRotation="90"/>
    </xf>
    <xf numFmtId="0" fontId="19" fillId="0" borderId="152" xfId="19" applyFont="1" applyBorder="1" applyAlignment="1">
      <alignment horizontal="left" vertical="top" wrapText="1"/>
    </xf>
    <xf numFmtId="0" fontId="19" fillId="0" borderId="152" xfId="19" applyFont="1" applyBorder="1" applyAlignment="1">
      <alignment horizontal="center" vertical="top" wrapText="1"/>
    </xf>
    <xf numFmtId="0" fontId="19" fillId="0" borderId="3" xfId="19" applyFont="1" applyBorder="1" applyAlignment="1">
      <alignment horizontal="center" vertical="top" wrapText="1"/>
    </xf>
    <xf numFmtId="167" fontId="23" fillId="2" borderId="37" xfId="17" applyNumberFormat="1" applyFont="1" applyFill="1" applyBorder="1" applyAlignment="1">
      <alignment horizontal="center" vertical="top"/>
    </xf>
    <xf numFmtId="167" fontId="23" fillId="2" borderId="36" xfId="17" applyNumberFormat="1" applyFont="1" applyFill="1" applyBorder="1" applyAlignment="1">
      <alignment horizontal="center" vertical="top"/>
    </xf>
    <xf numFmtId="167" fontId="23" fillId="2" borderId="5" xfId="17" applyNumberFormat="1" applyFont="1" applyFill="1" applyBorder="1" applyAlignment="1">
      <alignment horizontal="center" vertical="top"/>
    </xf>
    <xf numFmtId="167" fontId="23" fillId="2" borderId="146" xfId="17" applyNumberFormat="1" applyFont="1" applyFill="1" applyBorder="1" applyAlignment="1">
      <alignment horizontal="center" vertical="top"/>
    </xf>
    <xf numFmtId="167" fontId="23" fillId="2" borderId="150" xfId="17" applyNumberFormat="1" applyFont="1" applyFill="1" applyBorder="1" applyAlignment="1">
      <alignment horizontal="center" vertical="top"/>
    </xf>
    <xf numFmtId="0" fontId="19" fillId="0" borderId="103" xfId="19" applyFont="1" applyBorder="1" applyAlignment="1">
      <alignment horizontal="left" vertical="top" wrapText="1"/>
    </xf>
    <xf numFmtId="0" fontId="19" fillId="0" borderId="151" xfId="19" applyFont="1" applyBorder="1" applyAlignment="1">
      <alignment horizontal="left" vertical="top" wrapText="1"/>
    </xf>
    <xf numFmtId="0" fontId="19" fillId="0" borderId="112" xfId="19" applyFont="1" applyBorder="1" applyAlignment="1">
      <alignment horizontal="left" vertical="top" wrapText="1"/>
    </xf>
    <xf numFmtId="0" fontId="19" fillId="0" borderId="153" xfId="19" applyFont="1" applyBorder="1" applyAlignment="1">
      <alignment horizontal="left" vertical="top" wrapText="1"/>
    </xf>
    <xf numFmtId="0" fontId="19" fillId="0" borderId="154" xfId="19" applyFont="1" applyBorder="1" applyAlignment="1">
      <alignment horizontal="left" vertical="top" wrapText="1"/>
    </xf>
    <xf numFmtId="0" fontId="19" fillId="0" borderId="102" xfId="19" applyFont="1" applyBorder="1" applyAlignment="1">
      <alignment horizontal="left" vertical="top" wrapText="1"/>
    </xf>
    <xf numFmtId="167" fontId="23" fillId="2" borderId="147" xfId="17" applyNumberFormat="1" applyFont="1" applyFill="1" applyBorder="1" applyAlignment="1">
      <alignment horizontal="center" vertical="top"/>
    </xf>
    <xf numFmtId="167" fontId="23" fillId="2" borderId="148" xfId="17" applyNumberFormat="1" applyFont="1" applyFill="1" applyBorder="1" applyAlignment="1">
      <alignment horizontal="center" vertical="top"/>
    </xf>
    <xf numFmtId="167" fontId="23" fillId="2" borderId="9" xfId="17" applyNumberFormat="1" applyFont="1" applyFill="1" applyBorder="1" applyAlignment="1">
      <alignment horizontal="center" vertical="top"/>
    </xf>
    <xf numFmtId="167" fontId="23" fillId="2" borderId="22" xfId="17" applyNumberFormat="1" applyFont="1" applyFill="1" applyBorder="1" applyAlignment="1">
      <alignment horizontal="center" vertical="top"/>
    </xf>
    <xf numFmtId="167" fontId="23" fillId="2" borderId="128" xfId="17" applyNumberFormat="1" applyFont="1" applyFill="1" applyBorder="1" applyAlignment="1">
      <alignment horizontal="center" vertical="top"/>
    </xf>
    <xf numFmtId="167" fontId="23" fillId="2" borderId="149" xfId="17" applyNumberFormat="1" applyFont="1" applyFill="1" applyBorder="1" applyAlignment="1">
      <alignment horizontal="center" vertical="top"/>
    </xf>
    <xf numFmtId="0" fontId="19" fillId="0" borderId="145" xfId="19" applyFont="1" applyBorder="1" applyAlignment="1">
      <alignment horizontal="center" vertical="top" wrapText="1"/>
    </xf>
    <xf numFmtId="0" fontId="8" fillId="0" borderId="105" xfId="19" applyFont="1" applyBorder="1" applyAlignment="1">
      <alignment horizontal="center" textRotation="90"/>
    </xf>
    <xf numFmtId="0" fontId="8" fillId="0" borderId="108" xfId="19" applyFont="1" applyBorder="1" applyAlignment="1">
      <alignment horizontal="center" textRotation="90"/>
    </xf>
    <xf numFmtId="0" fontId="8" fillId="0" borderId="110" xfId="19" applyFont="1" applyBorder="1" applyAlignment="1">
      <alignment horizontal="center" textRotation="90"/>
    </xf>
    <xf numFmtId="0" fontId="8" fillId="0" borderId="111" xfId="19" applyFont="1" applyBorder="1" applyAlignment="1">
      <alignment horizontal="center" textRotation="90"/>
    </xf>
    <xf numFmtId="0" fontId="8" fillId="0" borderId="104" xfId="19" applyFont="1" applyBorder="1" applyAlignment="1">
      <alignment horizontal="center" textRotation="90"/>
    </xf>
    <xf numFmtId="0" fontId="8" fillId="0" borderId="106" xfId="19" applyFont="1" applyBorder="1" applyAlignment="1">
      <alignment horizontal="center" textRotation="90"/>
    </xf>
    <xf numFmtId="0" fontId="19" fillId="0" borderId="163" xfId="19" applyFont="1" applyBorder="1" applyAlignment="1">
      <alignment horizontal="center"/>
    </xf>
    <xf numFmtId="0" fontId="19" fillId="0" borderId="138" xfId="19" applyFont="1" applyBorder="1" applyAlignment="1">
      <alignment horizontal="center"/>
    </xf>
    <xf numFmtId="0" fontId="19" fillId="0" borderId="115" xfId="19" applyFont="1" applyBorder="1" applyAlignment="1">
      <alignment horizontal="center"/>
    </xf>
    <xf numFmtId="0" fontId="19" fillId="0" borderId="6" xfId="19" applyFont="1" applyBorder="1" applyAlignment="1">
      <alignment horizontal="center"/>
    </xf>
    <xf numFmtId="0" fontId="2" fillId="0" borderId="37" xfId="17" applyBorder="1" applyAlignment="1">
      <alignment horizontal="center"/>
    </xf>
    <xf numFmtId="0" fontId="2" fillId="0" borderId="36" xfId="17" applyBorder="1" applyAlignment="1">
      <alignment horizontal="center"/>
    </xf>
    <xf numFmtId="0" fontId="2" fillId="0" borderId="5" xfId="17" applyBorder="1" applyAlignment="1">
      <alignment horizontal="center"/>
    </xf>
    <xf numFmtId="0" fontId="1" fillId="0" borderId="24" xfId="17" applyFont="1" applyBorder="1" applyAlignment="1">
      <alignment horizontal="center" vertical="center"/>
    </xf>
    <xf numFmtId="0" fontId="1" fillId="0" borderId="12" xfId="17" applyFont="1" applyBorder="1" applyAlignment="1">
      <alignment horizontal="center" vertical="center"/>
    </xf>
    <xf numFmtId="0" fontId="1" fillId="0" borderId="23" xfId="17" applyFont="1" applyBorder="1" applyAlignment="1">
      <alignment horizontal="center" vertical="center" wrapText="1"/>
    </xf>
    <xf numFmtId="0" fontId="1" fillId="0" borderId="24" xfId="17" applyFont="1" applyBorder="1" applyAlignment="1">
      <alignment horizontal="center" vertical="center" wrapText="1"/>
    </xf>
    <xf numFmtId="0" fontId="1" fillId="0" borderId="6" xfId="17" applyFont="1" applyBorder="1" applyAlignment="1">
      <alignment horizontal="center" vertical="center"/>
    </xf>
    <xf numFmtId="0" fontId="1" fillId="0" borderId="82" xfId="17" applyFont="1" applyBorder="1"/>
    <xf numFmtId="0" fontId="1" fillId="0" borderId="62" xfId="17" applyFont="1" applyBorder="1"/>
    <xf numFmtId="0" fontId="1" fillId="0" borderId="83" xfId="17" applyFont="1" applyBorder="1"/>
    <xf numFmtId="0" fontId="1" fillId="0" borderId="84" xfId="17" applyFont="1" applyBorder="1"/>
    <xf numFmtId="0" fontId="1" fillId="0" borderId="65" xfId="17" applyFont="1" applyBorder="1"/>
    <xf numFmtId="0" fontId="1" fillId="0" borderId="0" xfId="0" applyFont="1" applyAlignment="1">
      <alignment wrapText="1"/>
    </xf>
    <xf numFmtId="0" fontId="1" fillId="2" borderId="0" xfId="17" applyFont="1" applyFill="1"/>
    <xf numFmtId="0" fontId="1" fillId="0" borderId="9" xfId="17" applyFont="1" applyBorder="1" applyAlignment="1">
      <alignment horizontal="center"/>
    </xf>
    <xf numFmtId="0" fontId="1" fillId="0" borderId="10" xfId="17" applyFont="1" applyBorder="1" applyAlignment="1">
      <alignment horizontal="center"/>
    </xf>
    <xf numFmtId="0" fontId="1" fillId="4" borderId="37" xfId="17" applyFont="1" applyFill="1" applyBorder="1" applyAlignment="1">
      <alignment horizontal="center"/>
    </xf>
    <xf numFmtId="0" fontId="1" fillId="4" borderId="5" xfId="17" applyFont="1" applyFill="1" applyBorder="1" applyAlignment="1">
      <alignment horizontal="center"/>
    </xf>
    <xf numFmtId="0" fontId="1" fillId="0" borderId="37" xfId="17" applyFont="1" applyBorder="1" applyAlignment="1">
      <alignment horizontal="center"/>
    </xf>
    <xf numFmtId="0" fontId="1" fillId="0" borderId="5" xfId="17" applyFont="1" applyBorder="1" applyAlignment="1">
      <alignment horizontal="center"/>
    </xf>
    <xf numFmtId="0" fontId="1" fillId="2" borderId="37" xfId="17" applyFont="1" applyFill="1" applyBorder="1" applyAlignment="1">
      <alignment horizontal="center"/>
    </xf>
    <xf numFmtId="0" fontId="1" fillId="2" borderId="5" xfId="17" applyFont="1" applyFill="1" applyBorder="1" applyAlignment="1">
      <alignment horizontal="center"/>
    </xf>
    <xf numFmtId="0" fontId="1" fillId="2" borderId="2" xfId="17" applyFont="1" applyFill="1" applyBorder="1"/>
    <xf numFmtId="0" fontId="1" fillId="2" borderId="36" xfId="17" applyFont="1" applyFill="1" applyBorder="1" applyAlignment="1">
      <alignment horizontal="center"/>
    </xf>
    <xf numFmtId="0" fontId="1" fillId="0" borderId="23" xfId="17" applyFont="1" applyBorder="1" applyAlignment="1">
      <alignment horizontal="center"/>
    </xf>
    <xf numFmtId="0" fontId="1" fillId="0" borderId="12" xfId="17" applyFont="1" applyBorder="1" applyAlignment="1">
      <alignment horizontal="center"/>
    </xf>
    <xf numFmtId="0" fontId="1" fillId="0" borderId="0" xfId="17" applyFont="1" applyAlignment="1">
      <alignment horizontal="center"/>
    </xf>
    <xf numFmtId="0" fontId="1" fillId="2" borderId="0" xfId="17" applyFont="1" applyFill="1" applyAlignment="1">
      <alignment horizontal="center"/>
    </xf>
    <xf numFmtId="0" fontId="1" fillId="0" borderId="19" xfId="17" applyFont="1" applyBorder="1"/>
    <xf numFmtId="0" fontId="20" fillId="0" borderId="0" xfId="0" applyFont="1" applyAlignment="1"/>
    <xf numFmtId="0" fontId="20" fillId="0" borderId="105" xfId="0" applyFont="1" applyBorder="1" applyAlignment="1"/>
    <xf numFmtId="0" fontId="20" fillId="0" borderId="2" xfId="0" applyFont="1" applyBorder="1" applyAlignment="1"/>
    <xf numFmtId="0" fontId="20" fillId="5" borderId="0" xfId="0" applyFont="1" applyFill="1" applyAlignment="1"/>
    <xf numFmtId="0" fontId="20" fillId="5" borderId="2" xfId="0" applyFont="1" applyFill="1" applyBorder="1" applyAlignment="1"/>
    <xf numFmtId="0" fontId="20" fillId="0" borderId="106" xfId="0" applyFont="1" applyBorder="1" applyAlignment="1"/>
    <xf numFmtId="0" fontId="20" fillId="0" borderId="107" xfId="0" applyFont="1" applyBorder="1" applyAlignment="1"/>
    <xf numFmtId="0" fontId="20" fillId="0" borderId="108" xfId="0" applyFont="1" applyBorder="1" applyAlignment="1"/>
    <xf numFmtId="0" fontId="20" fillId="0" borderId="1" xfId="0" applyFont="1" applyBorder="1" applyAlignment="1"/>
    <xf numFmtId="0" fontId="20" fillId="5" borderId="1" xfId="0" applyFont="1" applyFill="1" applyBorder="1" applyAlignment="1"/>
    <xf numFmtId="0" fontId="20" fillId="0" borderId="22" xfId="10" applyFont="1" applyBorder="1" applyAlignment="1"/>
  </cellXfs>
  <cellStyles count="22">
    <cellStyle name="Answer Codes" xfId="1" xr:uid="{00000000-0005-0000-0000-000000000000}"/>
    <cellStyle name="Comma 2" xfId="3" xr:uid="{00000000-0005-0000-0000-000001000000}"/>
    <cellStyle name="Comma 3" xfId="4" xr:uid="{00000000-0005-0000-0000-000002000000}"/>
    <cellStyle name="Comma 4" xfId="5" xr:uid="{00000000-0005-0000-0000-000003000000}"/>
    <cellStyle name="Comma 5" xfId="6" xr:uid="{00000000-0005-0000-0000-000004000000}"/>
    <cellStyle name="Euro" xfId="7" xr:uid="{00000000-0005-0000-0000-000005000000}"/>
    <cellStyle name="Euro 2" xfId="8" xr:uid="{00000000-0005-0000-0000-000006000000}"/>
    <cellStyle name="Milliers" xfId="2" builtinId="3"/>
    <cellStyle name="Module title" xfId="9" xr:uid="{00000000-0005-0000-0000-000007000000}"/>
    <cellStyle name="Normal" xfId="0" builtinId="0"/>
    <cellStyle name="Normal 10" xfId="19" xr:uid="{00000000-0005-0000-0000-000009000000}"/>
    <cellStyle name="Normal 2" xfId="10" xr:uid="{00000000-0005-0000-0000-00000A000000}"/>
    <cellStyle name="Normal 2 2" xfId="11" xr:uid="{00000000-0005-0000-0000-00000B000000}"/>
    <cellStyle name="Normal 2 2 2" xfId="20" xr:uid="{00000000-0005-0000-0000-00000C000000}"/>
    <cellStyle name="Normal 4" xfId="12" xr:uid="{00000000-0005-0000-0000-00000D000000}"/>
    <cellStyle name="Normal 5" xfId="13" xr:uid="{00000000-0005-0000-0000-00000E000000}"/>
    <cellStyle name="Normal 5 2" xfId="21" xr:uid="{00000000-0005-0000-0000-00000F000000}"/>
    <cellStyle name="Normal_Consumption" xfId="14" xr:uid="{00000000-0005-0000-0000-000010000000}"/>
    <cellStyle name="Normal_Okam_2006_V02_Eng 2" xfId="15" xr:uid="{00000000-0005-0000-0000-000011000000}"/>
    <cellStyle name="Normal_Part E" xfId="16" xr:uid="{00000000-0005-0000-0000-000012000000}"/>
    <cellStyle name="Normal_qst2001_provisoire" xfId="17" xr:uid="{00000000-0005-0000-0000-000013000000}"/>
    <cellStyle name="Questions &amp; instructions" xfId="18" xr:uid="{00000000-0005-0000-0000-00001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externalLink" Target="externalLinks/externalLink2.xml"/><Relationship Id="rId68" Type="http://schemas.microsoft.com/office/2017/06/relationships/rdRichValue" Target="richData/rdrichvalue.xml"/><Relationship Id="rId7" Type="http://schemas.openxmlformats.org/officeDocument/2006/relationships/worksheet" Target="worksheets/sheet7.xml"/><Relationship Id="rId71"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66" Type="http://schemas.openxmlformats.org/officeDocument/2006/relationships/sharedStrings" Target="sharedStrings.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theme" Target="theme/theme1.xml"/><Relationship Id="rId69" Type="http://schemas.microsoft.com/office/2017/06/relationships/rdRichValueStructure" Target="richData/rdrichvaluestructure.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sheetMetadata" Target="metadata.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externalLink" Target="externalLinks/externalLink1.xml"/><Relationship Id="rId70" Type="http://schemas.microsoft.com/office/2017/06/relationships/rdRichValueTypes" Target="richData/rdRichValueTypes.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s>
</file>

<file path=xl/drawings/drawing1.xml><?xml version="1.0" encoding="utf-8"?>
<xdr:wsDr xmlns:xdr="http://schemas.openxmlformats.org/drawingml/2006/spreadsheetDrawing" xmlns:a="http://schemas.openxmlformats.org/drawingml/2006/main">
  <xdr:twoCellAnchor>
    <xdr:from>
      <xdr:col>57</xdr:col>
      <xdr:colOff>0</xdr:colOff>
      <xdr:row>25</xdr:row>
      <xdr:rowOff>28575</xdr:rowOff>
    </xdr:from>
    <xdr:to>
      <xdr:col>57</xdr:col>
      <xdr:colOff>0</xdr:colOff>
      <xdr:row>40</xdr:row>
      <xdr:rowOff>0</xdr:rowOff>
    </xdr:to>
    <xdr:grpSp>
      <xdr:nvGrpSpPr>
        <xdr:cNvPr id="3411924" name="Group 2656">
          <a:extLst>
            <a:ext uri="{FF2B5EF4-FFF2-40B4-BE49-F238E27FC236}">
              <a16:creationId xmlns:a16="http://schemas.microsoft.com/office/drawing/2014/main" id="{00000000-0008-0000-0500-0000D40F3400}"/>
            </a:ext>
          </a:extLst>
        </xdr:cNvPr>
        <xdr:cNvGrpSpPr>
          <a:grpSpLocks/>
        </xdr:cNvGrpSpPr>
      </xdr:nvGrpSpPr>
      <xdr:grpSpPr bwMode="auto">
        <a:xfrm>
          <a:off x="31984950" y="5124450"/>
          <a:ext cx="0" cy="2686050"/>
          <a:chOff x="596" y="422"/>
          <a:chExt cx="56" cy="610"/>
        </a:xfrm>
      </xdr:grpSpPr>
      <xdr:grpSp>
        <xdr:nvGrpSpPr>
          <xdr:cNvPr id="3415058" name="Group 2657">
            <a:extLst>
              <a:ext uri="{FF2B5EF4-FFF2-40B4-BE49-F238E27FC236}">
                <a16:creationId xmlns:a16="http://schemas.microsoft.com/office/drawing/2014/main" id="{00000000-0008-0000-0500-0000121C3400}"/>
              </a:ext>
            </a:extLst>
          </xdr:cNvPr>
          <xdr:cNvGrpSpPr>
            <a:grpSpLocks/>
          </xdr:cNvGrpSpPr>
        </xdr:nvGrpSpPr>
        <xdr:grpSpPr bwMode="auto">
          <a:xfrm>
            <a:off x="596" y="422"/>
            <a:ext cx="56" cy="25"/>
            <a:chOff x="2755" y="422"/>
            <a:chExt cx="56" cy="32"/>
          </a:xfrm>
        </xdr:grpSpPr>
        <xdr:sp macro="" textlink="">
          <xdr:nvSpPr>
            <xdr:cNvPr id="3415116" name="Rectangle 2658">
              <a:extLst>
                <a:ext uri="{FF2B5EF4-FFF2-40B4-BE49-F238E27FC236}">
                  <a16:creationId xmlns:a16="http://schemas.microsoft.com/office/drawing/2014/main" id="{00000000-0008-0000-0500-00004C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117" name="Rectangle 2659">
              <a:extLst>
                <a:ext uri="{FF2B5EF4-FFF2-40B4-BE49-F238E27FC236}">
                  <a16:creationId xmlns:a16="http://schemas.microsoft.com/office/drawing/2014/main" id="{00000000-0008-0000-0500-00004D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59" name="Group 2660">
            <a:extLst>
              <a:ext uri="{FF2B5EF4-FFF2-40B4-BE49-F238E27FC236}">
                <a16:creationId xmlns:a16="http://schemas.microsoft.com/office/drawing/2014/main" id="{00000000-0008-0000-0500-0000131C3400}"/>
              </a:ext>
            </a:extLst>
          </xdr:cNvPr>
          <xdr:cNvGrpSpPr>
            <a:grpSpLocks/>
          </xdr:cNvGrpSpPr>
        </xdr:nvGrpSpPr>
        <xdr:grpSpPr bwMode="auto">
          <a:xfrm>
            <a:off x="596" y="452"/>
            <a:ext cx="56" cy="25"/>
            <a:chOff x="2755" y="422"/>
            <a:chExt cx="56" cy="32"/>
          </a:xfrm>
        </xdr:grpSpPr>
        <xdr:sp macro="" textlink="">
          <xdr:nvSpPr>
            <xdr:cNvPr id="3415114" name="Rectangle 2661">
              <a:extLst>
                <a:ext uri="{FF2B5EF4-FFF2-40B4-BE49-F238E27FC236}">
                  <a16:creationId xmlns:a16="http://schemas.microsoft.com/office/drawing/2014/main" id="{00000000-0008-0000-0500-00004A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115" name="Rectangle 2662">
              <a:extLst>
                <a:ext uri="{FF2B5EF4-FFF2-40B4-BE49-F238E27FC236}">
                  <a16:creationId xmlns:a16="http://schemas.microsoft.com/office/drawing/2014/main" id="{00000000-0008-0000-0500-00004B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60" name="Group 2663">
            <a:extLst>
              <a:ext uri="{FF2B5EF4-FFF2-40B4-BE49-F238E27FC236}">
                <a16:creationId xmlns:a16="http://schemas.microsoft.com/office/drawing/2014/main" id="{00000000-0008-0000-0500-0000141C3400}"/>
              </a:ext>
            </a:extLst>
          </xdr:cNvPr>
          <xdr:cNvGrpSpPr>
            <a:grpSpLocks/>
          </xdr:cNvGrpSpPr>
        </xdr:nvGrpSpPr>
        <xdr:grpSpPr bwMode="auto">
          <a:xfrm>
            <a:off x="596" y="482"/>
            <a:ext cx="56" cy="25"/>
            <a:chOff x="2755" y="422"/>
            <a:chExt cx="56" cy="32"/>
          </a:xfrm>
        </xdr:grpSpPr>
        <xdr:sp macro="" textlink="">
          <xdr:nvSpPr>
            <xdr:cNvPr id="3415112" name="Rectangle 2664">
              <a:extLst>
                <a:ext uri="{FF2B5EF4-FFF2-40B4-BE49-F238E27FC236}">
                  <a16:creationId xmlns:a16="http://schemas.microsoft.com/office/drawing/2014/main" id="{00000000-0008-0000-0500-000048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113" name="Rectangle 2665">
              <a:extLst>
                <a:ext uri="{FF2B5EF4-FFF2-40B4-BE49-F238E27FC236}">
                  <a16:creationId xmlns:a16="http://schemas.microsoft.com/office/drawing/2014/main" id="{00000000-0008-0000-0500-000049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61" name="Group 2666">
            <a:extLst>
              <a:ext uri="{FF2B5EF4-FFF2-40B4-BE49-F238E27FC236}">
                <a16:creationId xmlns:a16="http://schemas.microsoft.com/office/drawing/2014/main" id="{00000000-0008-0000-0500-0000151C3400}"/>
              </a:ext>
            </a:extLst>
          </xdr:cNvPr>
          <xdr:cNvGrpSpPr>
            <a:grpSpLocks/>
          </xdr:cNvGrpSpPr>
        </xdr:nvGrpSpPr>
        <xdr:grpSpPr bwMode="auto">
          <a:xfrm>
            <a:off x="596" y="512"/>
            <a:ext cx="56" cy="25"/>
            <a:chOff x="2755" y="422"/>
            <a:chExt cx="56" cy="32"/>
          </a:xfrm>
        </xdr:grpSpPr>
        <xdr:sp macro="" textlink="">
          <xdr:nvSpPr>
            <xdr:cNvPr id="3415110" name="Rectangle 2667">
              <a:extLst>
                <a:ext uri="{FF2B5EF4-FFF2-40B4-BE49-F238E27FC236}">
                  <a16:creationId xmlns:a16="http://schemas.microsoft.com/office/drawing/2014/main" id="{00000000-0008-0000-0500-000046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111" name="Rectangle 2668">
              <a:extLst>
                <a:ext uri="{FF2B5EF4-FFF2-40B4-BE49-F238E27FC236}">
                  <a16:creationId xmlns:a16="http://schemas.microsoft.com/office/drawing/2014/main" id="{00000000-0008-0000-0500-000047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62" name="Group 2669">
            <a:extLst>
              <a:ext uri="{FF2B5EF4-FFF2-40B4-BE49-F238E27FC236}">
                <a16:creationId xmlns:a16="http://schemas.microsoft.com/office/drawing/2014/main" id="{00000000-0008-0000-0500-0000161C3400}"/>
              </a:ext>
            </a:extLst>
          </xdr:cNvPr>
          <xdr:cNvGrpSpPr>
            <a:grpSpLocks/>
          </xdr:cNvGrpSpPr>
        </xdr:nvGrpSpPr>
        <xdr:grpSpPr bwMode="auto">
          <a:xfrm>
            <a:off x="596" y="542"/>
            <a:ext cx="56" cy="25"/>
            <a:chOff x="2755" y="422"/>
            <a:chExt cx="56" cy="32"/>
          </a:xfrm>
        </xdr:grpSpPr>
        <xdr:sp macro="" textlink="">
          <xdr:nvSpPr>
            <xdr:cNvPr id="3415108" name="Rectangle 2670">
              <a:extLst>
                <a:ext uri="{FF2B5EF4-FFF2-40B4-BE49-F238E27FC236}">
                  <a16:creationId xmlns:a16="http://schemas.microsoft.com/office/drawing/2014/main" id="{00000000-0008-0000-0500-000044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109" name="Rectangle 2671">
              <a:extLst>
                <a:ext uri="{FF2B5EF4-FFF2-40B4-BE49-F238E27FC236}">
                  <a16:creationId xmlns:a16="http://schemas.microsoft.com/office/drawing/2014/main" id="{00000000-0008-0000-0500-000045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63" name="Group 2672">
            <a:extLst>
              <a:ext uri="{FF2B5EF4-FFF2-40B4-BE49-F238E27FC236}">
                <a16:creationId xmlns:a16="http://schemas.microsoft.com/office/drawing/2014/main" id="{00000000-0008-0000-0500-0000171C3400}"/>
              </a:ext>
            </a:extLst>
          </xdr:cNvPr>
          <xdr:cNvGrpSpPr>
            <a:grpSpLocks/>
          </xdr:cNvGrpSpPr>
        </xdr:nvGrpSpPr>
        <xdr:grpSpPr bwMode="auto">
          <a:xfrm>
            <a:off x="596" y="577"/>
            <a:ext cx="56" cy="25"/>
            <a:chOff x="2755" y="422"/>
            <a:chExt cx="56" cy="32"/>
          </a:xfrm>
        </xdr:grpSpPr>
        <xdr:sp macro="" textlink="">
          <xdr:nvSpPr>
            <xdr:cNvPr id="3415106" name="Rectangle 2673">
              <a:extLst>
                <a:ext uri="{FF2B5EF4-FFF2-40B4-BE49-F238E27FC236}">
                  <a16:creationId xmlns:a16="http://schemas.microsoft.com/office/drawing/2014/main" id="{00000000-0008-0000-0500-000042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107" name="Rectangle 2674">
              <a:extLst>
                <a:ext uri="{FF2B5EF4-FFF2-40B4-BE49-F238E27FC236}">
                  <a16:creationId xmlns:a16="http://schemas.microsoft.com/office/drawing/2014/main" id="{00000000-0008-0000-0500-000043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64" name="Group 2675">
            <a:extLst>
              <a:ext uri="{FF2B5EF4-FFF2-40B4-BE49-F238E27FC236}">
                <a16:creationId xmlns:a16="http://schemas.microsoft.com/office/drawing/2014/main" id="{00000000-0008-0000-0500-0000181C3400}"/>
              </a:ext>
            </a:extLst>
          </xdr:cNvPr>
          <xdr:cNvGrpSpPr>
            <a:grpSpLocks/>
          </xdr:cNvGrpSpPr>
        </xdr:nvGrpSpPr>
        <xdr:grpSpPr bwMode="auto">
          <a:xfrm>
            <a:off x="596" y="607"/>
            <a:ext cx="56" cy="25"/>
            <a:chOff x="2755" y="422"/>
            <a:chExt cx="56" cy="32"/>
          </a:xfrm>
        </xdr:grpSpPr>
        <xdr:sp macro="" textlink="">
          <xdr:nvSpPr>
            <xdr:cNvPr id="3415104" name="Rectangle 2676">
              <a:extLst>
                <a:ext uri="{FF2B5EF4-FFF2-40B4-BE49-F238E27FC236}">
                  <a16:creationId xmlns:a16="http://schemas.microsoft.com/office/drawing/2014/main" id="{00000000-0008-0000-0500-000040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105" name="Rectangle 2677">
              <a:extLst>
                <a:ext uri="{FF2B5EF4-FFF2-40B4-BE49-F238E27FC236}">
                  <a16:creationId xmlns:a16="http://schemas.microsoft.com/office/drawing/2014/main" id="{00000000-0008-0000-0500-000041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65" name="Group 2678">
            <a:extLst>
              <a:ext uri="{FF2B5EF4-FFF2-40B4-BE49-F238E27FC236}">
                <a16:creationId xmlns:a16="http://schemas.microsoft.com/office/drawing/2014/main" id="{00000000-0008-0000-0500-0000191C3400}"/>
              </a:ext>
            </a:extLst>
          </xdr:cNvPr>
          <xdr:cNvGrpSpPr>
            <a:grpSpLocks/>
          </xdr:cNvGrpSpPr>
        </xdr:nvGrpSpPr>
        <xdr:grpSpPr bwMode="auto">
          <a:xfrm>
            <a:off x="596" y="637"/>
            <a:ext cx="56" cy="25"/>
            <a:chOff x="2755" y="422"/>
            <a:chExt cx="56" cy="32"/>
          </a:xfrm>
        </xdr:grpSpPr>
        <xdr:sp macro="" textlink="">
          <xdr:nvSpPr>
            <xdr:cNvPr id="3415102" name="Rectangle 2679">
              <a:extLst>
                <a:ext uri="{FF2B5EF4-FFF2-40B4-BE49-F238E27FC236}">
                  <a16:creationId xmlns:a16="http://schemas.microsoft.com/office/drawing/2014/main" id="{00000000-0008-0000-0500-00003E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103" name="Rectangle 2680">
              <a:extLst>
                <a:ext uri="{FF2B5EF4-FFF2-40B4-BE49-F238E27FC236}">
                  <a16:creationId xmlns:a16="http://schemas.microsoft.com/office/drawing/2014/main" id="{00000000-0008-0000-0500-00003F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66" name="Group 2681">
            <a:extLst>
              <a:ext uri="{FF2B5EF4-FFF2-40B4-BE49-F238E27FC236}">
                <a16:creationId xmlns:a16="http://schemas.microsoft.com/office/drawing/2014/main" id="{00000000-0008-0000-0500-00001A1C3400}"/>
              </a:ext>
            </a:extLst>
          </xdr:cNvPr>
          <xdr:cNvGrpSpPr>
            <a:grpSpLocks/>
          </xdr:cNvGrpSpPr>
        </xdr:nvGrpSpPr>
        <xdr:grpSpPr bwMode="auto">
          <a:xfrm>
            <a:off x="596" y="667"/>
            <a:ext cx="56" cy="25"/>
            <a:chOff x="2755" y="422"/>
            <a:chExt cx="56" cy="32"/>
          </a:xfrm>
        </xdr:grpSpPr>
        <xdr:sp macro="" textlink="">
          <xdr:nvSpPr>
            <xdr:cNvPr id="3415100" name="Rectangle 2682">
              <a:extLst>
                <a:ext uri="{FF2B5EF4-FFF2-40B4-BE49-F238E27FC236}">
                  <a16:creationId xmlns:a16="http://schemas.microsoft.com/office/drawing/2014/main" id="{00000000-0008-0000-0500-00003C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101" name="Rectangle 2683">
              <a:extLst>
                <a:ext uri="{FF2B5EF4-FFF2-40B4-BE49-F238E27FC236}">
                  <a16:creationId xmlns:a16="http://schemas.microsoft.com/office/drawing/2014/main" id="{00000000-0008-0000-0500-00003D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67" name="Group 2684">
            <a:extLst>
              <a:ext uri="{FF2B5EF4-FFF2-40B4-BE49-F238E27FC236}">
                <a16:creationId xmlns:a16="http://schemas.microsoft.com/office/drawing/2014/main" id="{00000000-0008-0000-0500-00001B1C3400}"/>
              </a:ext>
            </a:extLst>
          </xdr:cNvPr>
          <xdr:cNvGrpSpPr>
            <a:grpSpLocks/>
          </xdr:cNvGrpSpPr>
        </xdr:nvGrpSpPr>
        <xdr:grpSpPr bwMode="auto">
          <a:xfrm>
            <a:off x="596" y="697"/>
            <a:ext cx="56" cy="25"/>
            <a:chOff x="2755" y="422"/>
            <a:chExt cx="56" cy="32"/>
          </a:xfrm>
        </xdr:grpSpPr>
        <xdr:sp macro="" textlink="">
          <xdr:nvSpPr>
            <xdr:cNvPr id="3415098" name="Rectangle 2685">
              <a:extLst>
                <a:ext uri="{FF2B5EF4-FFF2-40B4-BE49-F238E27FC236}">
                  <a16:creationId xmlns:a16="http://schemas.microsoft.com/office/drawing/2014/main" id="{00000000-0008-0000-0500-00003A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99" name="Rectangle 2686">
              <a:extLst>
                <a:ext uri="{FF2B5EF4-FFF2-40B4-BE49-F238E27FC236}">
                  <a16:creationId xmlns:a16="http://schemas.microsoft.com/office/drawing/2014/main" id="{00000000-0008-0000-0500-00003B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68" name="Group 2687">
            <a:extLst>
              <a:ext uri="{FF2B5EF4-FFF2-40B4-BE49-F238E27FC236}">
                <a16:creationId xmlns:a16="http://schemas.microsoft.com/office/drawing/2014/main" id="{00000000-0008-0000-0500-00001C1C3400}"/>
              </a:ext>
            </a:extLst>
          </xdr:cNvPr>
          <xdr:cNvGrpSpPr>
            <a:grpSpLocks/>
          </xdr:cNvGrpSpPr>
        </xdr:nvGrpSpPr>
        <xdr:grpSpPr bwMode="auto">
          <a:xfrm>
            <a:off x="596" y="732"/>
            <a:ext cx="56" cy="25"/>
            <a:chOff x="2755" y="422"/>
            <a:chExt cx="56" cy="32"/>
          </a:xfrm>
        </xdr:grpSpPr>
        <xdr:sp macro="" textlink="">
          <xdr:nvSpPr>
            <xdr:cNvPr id="3415096" name="Rectangle 2688">
              <a:extLst>
                <a:ext uri="{FF2B5EF4-FFF2-40B4-BE49-F238E27FC236}">
                  <a16:creationId xmlns:a16="http://schemas.microsoft.com/office/drawing/2014/main" id="{00000000-0008-0000-0500-000038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97" name="Rectangle 2689">
              <a:extLst>
                <a:ext uri="{FF2B5EF4-FFF2-40B4-BE49-F238E27FC236}">
                  <a16:creationId xmlns:a16="http://schemas.microsoft.com/office/drawing/2014/main" id="{00000000-0008-0000-0500-000039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69" name="Group 2690">
            <a:extLst>
              <a:ext uri="{FF2B5EF4-FFF2-40B4-BE49-F238E27FC236}">
                <a16:creationId xmlns:a16="http://schemas.microsoft.com/office/drawing/2014/main" id="{00000000-0008-0000-0500-00001D1C3400}"/>
              </a:ext>
            </a:extLst>
          </xdr:cNvPr>
          <xdr:cNvGrpSpPr>
            <a:grpSpLocks/>
          </xdr:cNvGrpSpPr>
        </xdr:nvGrpSpPr>
        <xdr:grpSpPr bwMode="auto">
          <a:xfrm>
            <a:off x="596" y="762"/>
            <a:ext cx="56" cy="25"/>
            <a:chOff x="2755" y="422"/>
            <a:chExt cx="56" cy="32"/>
          </a:xfrm>
        </xdr:grpSpPr>
        <xdr:sp macro="" textlink="">
          <xdr:nvSpPr>
            <xdr:cNvPr id="3415094" name="Rectangle 2691">
              <a:extLst>
                <a:ext uri="{FF2B5EF4-FFF2-40B4-BE49-F238E27FC236}">
                  <a16:creationId xmlns:a16="http://schemas.microsoft.com/office/drawing/2014/main" id="{00000000-0008-0000-0500-000036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95" name="Rectangle 2692">
              <a:extLst>
                <a:ext uri="{FF2B5EF4-FFF2-40B4-BE49-F238E27FC236}">
                  <a16:creationId xmlns:a16="http://schemas.microsoft.com/office/drawing/2014/main" id="{00000000-0008-0000-0500-000037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70" name="Group 2693">
            <a:extLst>
              <a:ext uri="{FF2B5EF4-FFF2-40B4-BE49-F238E27FC236}">
                <a16:creationId xmlns:a16="http://schemas.microsoft.com/office/drawing/2014/main" id="{00000000-0008-0000-0500-00001E1C3400}"/>
              </a:ext>
            </a:extLst>
          </xdr:cNvPr>
          <xdr:cNvGrpSpPr>
            <a:grpSpLocks/>
          </xdr:cNvGrpSpPr>
        </xdr:nvGrpSpPr>
        <xdr:grpSpPr bwMode="auto">
          <a:xfrm>
            <a:off x="596" y="792"/>
            <a:ext cx="56" cy="25"/>
            <a:chOff x="2755" y="422"/>
            <a:chExt cx="56" cy="32"/>
          </a:xfrm>
        </xdr:grpSpPr>
        <xdr:sp macro="" textlink="">
          <xdr:nvSpPr>
            <xdr:cNvPr id="3415092" name="Rectangle 2694">
              <a:extLst>
                <a:ext uri="{FF2B5EF4-FFF2-40B4-BE49-F238E27FC236}">
                  <a16:creationId xmlns:a16="http://schemas.microsoft.com/office/drawing/2014/main" id="{00000000-0008-0000-0500-000034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93" name="Rectangle 2695">
              <a:extLst>
                <a:ext uri="{FF2B5EF4-FFF2-40B4-BE49-F238E27FC236}">
                  <a16:creationId xmlns:a16="http://schemas.microsoft.com/office/drawing/2014/main" id="{00000000-0008-0000-0500-000035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71" name="Group 2696">
            <a:extLst>
              <a:ext uri="{FF2B5EF4-FFF2-40B4-BE49-F238E27FC236}">
                <a16:creationId xmlns:a16="http://schemas.microsoft.com/office/drawing/2014/main" id="{00000000-0008-0000-0500-00001F1C3400}"/>
              </a:ext>
            </a:extLst>
          </xdr:cNvPr>
          <xdr:cNvGrpSpPr>
            <a:grpSpLocks/>
          </xdr:cNvGrpSpPr>
        </xdr:nvGrpSpPr>
        <xdr:grpSpPr bwMode="auto">
          <a:xfrm>
            <a:off x="596" y="822"/>
            <a:ext cx="56" cy="25"/>
            <a:chOff x="2755" y="422"/>
            <a:chExt cx="56" cy="32"/>
          </a:xfrm>
        </xdr:grpSpPr>
        <xdr:sp macro="" textlink="">
          <xdr:nvSpPr>
            <xdr:cNvPr id="3415090" name="Rectangle 2697">
              <a:extLst>
                <a:ext uri="{FF2B5EF4-FFF2-40B4-BE49-F238E27FC236}">
                  <a16:creationId xmlns:a16="http://schemas.microsoft.com/office/drawing/2014/main" id="{00000000-0008-0000-0500-000032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91" name="Rectangle 2698">
              <a:extLst>
                <a:ext uri="{FF2B5EF4-FFF2-40B4-BE49-F238E27FC236}">
                  <a16:creationId xmlns:a16="http://schemas.microsoft.com/office/drawing/2014/main" id="{00000000-0008-0000-0500-000033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72" name="Group 2699">
            <a:extLst>
              <a:ext uri="{FF2B5EF4-FFF2-40B4-BE49-F238E27FC236}">
                <a16:creationId xmlns:a16="http://schemas.microsoft.com/office/drawing/2014/main" id="{00000000-0008-0000-0500-0000201C3400}"/>
              </a:ext>
            </a:extLst>
          </xdr:cNvPr>
          <xdr:cNvGrpSpPr>
            <a:grpSpLocks/>
          </xdr:cNvGrpSpPr>
        </xdr:nvGrpSpPr>
        <xdr:grpSpPr bwMode="auto">
          <a:xfrm>
            <a:off x="596" y="852"/>
            <a:ext cx="56" cy="25"/>
            <a:chOff x="2755" y="422"/>
            <a:chExt cx="56" cy="32"/>
          </a:xfrm>
        </xdr:grpSpPr>
        <xdr:sp macro="" textlink="">
          <xdr:nvSpPr>
            <xdr:cNvPr id="3415088" name="Rectangle 2700">
              <a:extLst>
                <a:ext uri="{FF2B5EF4-FFF2-40B4-BE49-F238E27FC236}">
                  <a16:creationId xmlns:a16="http://schemas.microsoft.com/office/drawing/2014/main" id="{00000000-0008-0000-0500-000030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89" name="Rectangle 2701">
              <a:extLst>
                <a:ext uri="{FF2B5EF4-FFF2-40B4-BE49-F238E27FC236}">
                  <a16:creationId xmlns:a16="http://schemas.microsoft.com/office/drawing/2014/main" id="{00000000-0008-0000-0500-000031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73" name="Group 2702">
            <a:extLst>
              <a:ext uri="{FF2B5EF4-FFF2-40B4-BE49-F238E27FC236}">
                <a16:creationId xmlns:a16="http://schemas.microsoft.com/office/drawing/2014/main" id="{00000000-0008-0000-0500-0000211C3400}"/>
              </a:ext>
            </a:extLst>
          </xdr:cNvPr>
          <xdr:cNvGrpSpPr>
            <a:grpSpLocks/>
          </xdr:cNvGrpSpPr>
        </xdr:nvGrpSpPr>
        <xdr:grpSpPr bwMode="auto">
          <a:xfrm>
            <a:off x="596" y="887"/>
            <a:ext cx="56" cy="25"/>
            <a:chOff x="2755" y="422"/>
            <a:chExt cx="56" cy="32"/>
          </a:xfrm>
        </xdr:grpSpPr>
        <xdr:sp macro="" textlink="">
          <xdr:nvSpPr>
            <xdr:cNvPr id="3415086" name="Rectangle 2703">
              <a:extLst>
                <a:ext uri="{FF2B5EF4-FFF2-40B4-BE49-F238E27FC236}">
                  <a16:creationId xmlns:a16="http://schemas.microsoft.com/office/drawing/2014/main" id="{00000000-0008-0000-0500-00002E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87" name="Rectangle 2704">
              <a:extLst>
                <a:ext uri="{FF2B5EF4-FFF2-40B4-BE49-F238E27FC236}">
                  <a16:creationId xmlns:a16="http://schemas.microsoft.com/office/drawing/2014/main" id="{00000000-0008-0000-0500-00002F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74" name="Group 2705">
            <a:extLst>
              <a:ext uri="{FF2B5EF4-FFF2-40B4-BE49-F238E27FC236}">
                <a16:creationId xmlns:a16="http://schemas.microsoft.com/office/drawing/2014/main" id="{00000000-0008-0000-0500-0000221C3400}"/>
              </a:ext>
            </a:extLst>
          </xdr:cNvPr>
          <xdr:cNvGrpSpPr>
            <a:grpSpLocks/>
          </xdr:cNvGrpSpPr>
        </xdr:nvGrpSpPr>
        <xdr:grpSpPr bwMode="auto">
          <a:xfrm>
            <a:off x="596" y="917"/>
            <a:ext cx="56" cy="25"/>
            <a:chOff x="2755" y="422"/>
            <a:chExt cx="56" cy="32"/>
          </a:xfrm>
        </xdr:grpSpPr>
        <xdr:sp macro="" textlink="">
          <xdr:nvSpPr>
            <xdr:cNvPr id="3415084" name="Rectangle 2706">
              <a:extLst>
                <a:ext uri="{FF2B5EF4-FFF2-40B4-BE49-F238E27FC236}">
                  <a16:creationId xmlns:a16="http://schemas.microsoft.com/office/drawing/2014/main" id="{00000000-0008-0000-0500-00002C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85" name="Rectangle 2707">
              <a:extLst>
                <a:ext uri="{FF2B5EF4-FFF2-40B4-BE49-F238E27FC236}">
                  <a16:creationId xmlns:a16="http://schemas.microsoft.com/office/drawing/2014/main" id="{00000000-0008-0000-0500-00002D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75" name="Group 2708">
            <a:extLst>
              <a:ext uri="{FF2B5EF4-FFF2-40B4-BE49-F238E27FC236}">
                <a16:creationId xmlns:a16="http://schemas.microsoft.com/office/drawing/2014/main" id="{00000000-0008-0000-0500-0000231C3400}"/>
              </a:ext>
            </a:extLst>
          </xdr:cNvPr>
          <xdr:cNvGrpSpPr>
            <a:grpSpLocks/>
          </xdr:cNvGrpSpPr>
        </xdr:nvGrpSpPr>
        <xdr:grpSpPr bwMode="auto">
          <a:xfrm>
            <a:off x="596" y="947"/>
            <a:ext cx="56" cy="25"/>
            <a:chOff x="2755" y="422"/>
            <a:chExt cx="56" cy="32"/>
          </a:xfrm>
        </xdr:grpSpPr>
        <xdr:sp macro="" textlink="">
          <xdr:nvSpPr>
            <xdr:cNvPr id="3415082" name="Rectangle 2709">
              <a:extLst>
                <a:ext uri="{FF2B5EF4-FFF2-40B4-BE49-F238E27FC236}">
                  <a16:creationId xmlns:a16="http://schemas.microsoft.com/office/drawing/2014/main" id="{00000000-0008-0000-0500-00002A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83" name="Rectangle 2710">
              <a:extLst>
                <a:ext uri="{FF2B5EF4-FFF2-40B4-BE49-F238E27FC236}">
                  <a16:creationId xmlns:a16="http://schemas.microsoft.com/office/drawing/2014/main" id="{00000000-0008-0000-0500-00002B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76" name="Group 2711">
            <a:extLst>
              <a:ext uri="{FF2B5EF4-FFF2-40B4-BE49-F238E27FC236}">
                <a16:creationId xmlns:a16="http://schemas.microsoft.com/office/drawing/2014/main" id="{00000000-0008-0000-0500-0000241C3400}"/>
              </a:ext>
            </a:extLst>
          </xdr:cNvPr>
          <xdr:cNvGrpSpPr>
            <a:grpSpLocks/>
          </xdr:cNvGrpSpPr>
        </xdr:nvGrpSpPr>
        <xdr:grpSpPr bwMode="auto">
          <a:xfrm>
            <a:off x="596" y="977"/>
            <a:ext cx="56" cy="25"/>
            <a:chOff x="2755" y="422"/>
            <a:chExt cx="56" cy="32"/>
          </a:xfrm>
        </xdr:grpSpPr>
        <xdr:sp macro="" textlink="">
          <xdr:nvSpPr>
            <xdr:cNvPr id="3415080" name="Rectangle 2712">
              <a:extLst>
                <a:ext uri="{FF2B5EF4-FFF2-40B4-BE49-F238E27FC236}">
                  <a16:creationId xmlns:a16="http://schemas.microsoft.com/office/drawing/2014/main" id="{00000000-0008-0000-0500-000028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81" name="Rectangle 2713">
              <a:extLst>
                <a:ext uri="{FF2B5EF4-FFF2-40B4-BE49-F238E27FC236}">
                  <a16:creationId xmlns:a16="http://schemas.microsoft.com/office/drawing/2014/main" id="{00000000-0008-0000-0500-000029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5077" name="Group 2714">
            <a:extLst>
              <a:ext uri="{FF2B5EF4-FFF2-40B4-BE49-F238E27FC236}">
                <a16:creationId xmlns:a16="http://schemas.microsoft.com/office/drawing/2014/main" id="{00000000-0008-0000-0500-0000251C3400}"/>
              </a:ext>
            </a:extLst>
          </xdr:cNvPr>
          <xdr:cNvGrpSpPr>
            <a:grpSpLocks/>
          </xdr:cNvGrpSpPr>
        </xdr:nvGrpSpPr>
        <xdr:grpSpPr bwMode="auto">
          <a:xfrm>
            <a:off x="596" y="1007"/>
            <a:ext cx="56" cy="25"/>
            <a:chOff x="2755" y="422"/>
            <a:chExt cx="56" cy="32"/>
          </a:xfrm>
        </xdr:grpSpPr>
        <xdr:sp macro="" textlink="">
          <xdr:nvSpPr>
            <xdr:cNvPr id="3415078" name="Rectangle 2715">
              <a:extLst>
                <a:ext uri="{FF2B5EF4-FFF2-40B4-BE49-F238E27FC236}">
                  <a16:creationId xmlns:a16="http://schemas.microsoft.com/office/drawing/2014/main" id="{00000000-0008-0000-0500-000026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79" name="Rectangle 2716">
              <a:extLst>
                <a:ext uri="{FF2B5EF4-FFF2-40B4-BE49-F238E27FC236}">
                  <a16:creationId xmlns:a16="http://schemas.microsoft.com/office/drawing/2014/main" id="{00000000-0008-0000-0500-000027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clientData/>
  </xdr:twoCellAnchor>
  <xdr:twoCellAnchor>
    <xdr:from>
      <xdr:col>55</xdr:col>
      <xdr:colOff>0</xdr:colOff>
      <xdr:row>25</xdr:row>
      <xdr:rowOff>28575</xdr:rowOff>
    </xdr:from>
    <xdr:to>
      <xdr:col>55</xdr:col>
      <xdr:colOff>0</xdr:colOff>
      <xdr:row>40</xdr:row>
      <xdr:rowOff>0</xdr:rowOff>
    </xdr:to>
    <xdr:grpSp>
      <xdr:nvGrpSpPr>
        <xdr:cNvPr id="3411925" name="Group 2656">
          <a:extLst>
            <a:ext uri="{FF2B5EF4-FFF2-40B4-BE49-F238E27FC236}">
              <a16:creationId xmlns:a16="http://schemas.microsoft.com/office/drawing/2014/main" id="{00000000-0008-0000-0500-0000D50F3400}"/>
            </a:ext>
          </a:extLst>
        </xdr:cNvPr>
        <xdr:cNvGrpSpPr>
          <a:grpSpLocks/>
        </xdr:cNvGrpSpPr>
      </xdr:nvGrpSpPr>
      <xdr:grpSpPr bwMode="auto">
        <a:xfrm>
          <a:off x="30937200" y="5124450"/>
          <a:ext cx="0" cy="2686050"/>
          <a:chOff x="596" y="422"/>
          <a:chExt cx="56" cy="610"/>
        </a:xfrm>
      </xdr:grpSpPr>
      <xdr:grpSp>
        <xdr:nvGrpSpPr>
          <xdr:cNvPr id="3411926" name="Group 2657">
            <a:extLst>
              <a:ext uri="{FF2B5EF4-FFF2-40B4-BE49-F238E27FC236}">
                <a16:creationId xmlns:a16="http://schemas.microsoft.com/office/drawing/2014/main" id="{00000000-0008-0000-0500-0000D60F3400}"/>
              </a:ext>
            </a:extLst>
          </xdr:cNvPr>
          <xdr:cNvGrpSpPr>
            <a:grpSpLocks/>
          </xdr:cNvGrpSpPr>
        </xdr:nvGrpSpPr>
        <xdr:grpSpPr bwMode="auto">
          <a:xfrm>
            <a:off x="596" y="422"/>
            <a:ext cx="56" cy="25"/>
            <a:chOff x="2755" y="422"/>
            <a:chExt cx="56" cy="32"/>
          </a:xfrm>
        </xdr:grpSpPr>
        <xdr:sp macro="" textlink="">
          <xdr:nvSpPr>
            <xdr:cNvPr id="3415056" name="Rectangle 2658">
              <a:extLst>
                <a:ext uri="{FF2B5EF4-FFF2-40B4-BE49-F238E27FC236}">
                  <a16:creationId xmlns:a16="http://schemas.microsoft.com/office/drawing/2014/main" id="{00000000-0008-0000-0500-000010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57" name="Rectangle 2659">
              <a:extLst>
                <a:ext uri="{FF2B5EF4-FFF2-40B4-BE49-F238E27FC236}">
                  <a16:creationId xmlns:a16="http://schemas.microsoft.com/office/drawing/2014/main" id="{00000000-0008-0000-0500-000011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27" name="Group 2660">
            <a:extLst>
              <a:ext uri="{FF2B5EF4-FFF2-40B4-BE49-F238E27FC236}">
                <a16:creationId xmlns:a16="http://schemas.microsoft.com/office/drawing/2014/main" id="{00000000-0008-0000-0500-0000D70F3400}"/>
              </a:ext>
            </a:extLst>
          </xdr:cNvPr>
          <xdr:cNvGrpSpPr>
            <a:grpSpLocks/>
          </xdr:cNvGrpSpPr>
        </xdr:nvGrpSpPr>
        <xdr:grpSpPr bwMode="auto">
          <a:xfrm>
            <a:off x="596" y="452"/>
            <a:ext cx="56" cy="25"/>
            <a:chOff x="2755" y="422"/>
            <a:chExt cx="56" cy="32"/>
          </a:xfrm>
        </xdr:grpSpPr>
        <xdr:sp macro="" textlink="">
          <xdr:nvSpPr>
            <xdr:cNvPr id="3415054" name="Rectangle 2661">
              <a:extLst>
                <a:ext uri="{FF2B5EF4-FFF2-40B4-BE49-F238E27FC236}">
                  <a16:creationId xmlns:a16="http://schemas.microsoft.com/office/drawing/2014/main" id="{00000000-0008-0000-0500-00000E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55" name="Rectangle 2662">
              <a:extLst>
                <a:ext uri="{FF2B5EF4-FFF2-40B4-BE49-F238E27FC236}">
                  <a16:creationId xmlns:a16="http://schemas.microsoft.com/office/drawing/2014/main" id="{00000000-0008-0000-0500-00000F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28" name="Group 2663">
            <a:extLst>
              <a:ext uri="{FF2B5EF4-FFF2-40B4-BE49-F238E27FC236}">
                <a16:creationId xmlns:a16="http://schemas.microsoft.com/office/drawing/2014/main" id="{00000000-0008-0000-0500-0000D80F3400}"/>
              </a:ext>
            </a:extLst>
          </xdr:cNvPr>
          <xdr:cNvGrpSpPr>
            <a:grpSpLocks/>
          </xdr:cNvGrpSpPr>
        </xdr:nvGrpSpPr>
        <xdr:grpSpPr bwMode="auto">
          <a:xfrm>
            <a:off x="596" y="482"/>
            <a:ext cx="56" cy="25"/>
            <a:chOff x="2755" y="422"/>
            <a:chExt cx="56" cy="32"/>
          </a:xfrm>
        </xdr:grpSpPr>
        <xdr:sp macro="" textlink="">
          <xdr:nvSpPr>
            <xdr:cNvPr id="3415052" name="Rectangle 2664">
              <a:extLst>
                <a:ext uri="{FF2B5EF4-FFF2-40B4-BE49-F238E27FC236}">
                  <a16:creationId xmlns:a16="http://schemas.microsoft.com/office/drawing/2014/main" id="{00000000-0008-0000-0500-00000C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53" name="Rectangle 2665">
              <a:extLst>
                <a:ext uri="{FF2B5EF4-FFF2-40B4-BE49-F238E27FC236}">
                  <a16:creationId xmlns:a16="http://schemas.microsoft.com/office/drawing/2014/main" id="{00000000-0008-0000-0500-00000D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29" name="Group 2666">
            <a:extLst>
              <a:ext uri="{FF2B5EF4-FFF2-40B4-BE49-F238E27FC236}">
                <a16:creationId xmlns:a16="http://schemas.microsoft.com/office/drawing/2014/main" id="{00000000-0008-0000-0500-0000D90F3400}"/>
              </a:ext>
            </a:extLst>
          </xdr:cNvPr>
          <xdr:cNvGrpSpPr>
            <a:grpSpLocks/>
          </xdr:cNvGrpSpPr>
        </xdr:nvGrpSpPr>
        <xdr:grpSpPr bwMode="auto">
          <a:xfrm>
            <a:off x="596" y="512"/>
            <a:ext cx="56" cy="25"/>
            <a:chOff x="2755" y="422"/>
            <a:chExt cx="56" cy="32"/>
          </a:xfrm>
        </xdr:grpSpPr>
        <xdr:sp macro="" textlink="">
          <xdr:nvSpPr>
            <xdr:cNvPr id="3415050" name="Rectangle 2667">
              <a:extLst>
                <a:ext uri="{FF2B5EF4-FFF2-40B4-BE49-F238E27FC236}">
                  <a16:creationId xmlns:a16="http://schemas.microsoft.com/office/drawing/2014/main" id="{00000000-0008-0000-0500-00000A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51" name="Rectangle 2668">
              <a:extLst>
                <a:ext uri="{FF2B5EF4-FFF2-40B4-BE49-F238E27FC236}">
                  <a16:creationId xmlns:a16="http://schemas.microsoft.com/office/drawing/2014/main" id="{00000000-0008-0000-0500-00000B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30" name="Group 2669">
            <a:extLst>
              <a:ext uri="{FF2B5EF4-FFF2-40B4-BE49-F238E27FC236}">
                <a16:creationId xmlns:a16="http://schemas.microsoft.com/office/drawing/2014/main" id="{00000000-0008-0000-0500-0000DA0F3400}"/>
              </a:ext>
            </a:extLst>
          </xdr:cNvPr>
          <xdr:cNvGrpSpPr>
            <a:grpSpLocks/>
          </xdr:cNvGrpSpPr>
        </xdr:nvGrpSpPr>
        <xdr:grpSpPr bwMode="auto">
          <a:xfrm>
            <a:off x="596" y="542"/>
            <a:ext cx="56" cy="25"/>
            <a:chOff x="2755" y="422"/>
            <a:chExt cx="56" cy="32"/>
          </a:xfrm>
        </xdr:grpSpPr>
        <xdr:sp macro="" textlink="">
          <xdr:nvSpPr>
            <xdr:cNvPr id="3415048" name="Rectangle 2670">
              <a:extLst>
                <a:ext uri="{FF2B5EF4-FFF2-40B4-BE49-F238E27FC236}">
                  <a16:creationId xmlns:a16="http://schemas.microsoft.com/office/drawing/2014/main" id="{00000000-0008-0000-0500-000008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49" name="Rectangle 2671">
              <a:extLst>
                <a:ext uri="{FF2B5EF4-FFF2-40B4-BE49-F238E27FC236}">
                  <a16:creationId xmlns:a16="http://schemas.microsoft.com/office/drawing/2014/main" id="{00000000-0008-0000-0500-000009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31" name="Group 2672">
            <a:extLst>
              <a:ext uri="{FF2B5EF4-FFF2-40B4-BE49-F238E27FC236}">
                <a16:creationId xmlns:a16="http://schemas.microsoft.com/office/drawing/2014/main" id="{00000000-0008-0000-0500-0000DB0F3400}"/>
              </a:ext>
            </a:extLst>
          </xdr:cNvPr>
          <xdr:cNvGrpSpPr>
            <a:grpSpLocks/>
          </xdr:cNvGrpSpPr>
        </xdr:nvGrpSpPr>
        <xdr:grpSpPr bwMode="auto">
          <a:xfrm>
            <a:off x="596" y="577"/>
            <a:ext cx="56" cy="25"/>
            <a:chOff x="2755" y="422"/>
            <a:chExt cx="56" cy="32"/>
          </a:xfrm>
        </xdr:grpSpPr>
        <xdr:sp macro="" textlink="">
          <xdr:nvSpPr>
            <xdr:cNvPr id="3415046" name="Rectangle 2673">
              <a:extLst>
                <a:ext uri="{FF2B5EF4-FFF2-40B4-BE49-F238E27FC236}">
                  <a16:creationId xmlns:a16="http://schemas.microsoft.com/office/drawing/2014/main" id="{00000000-0008-0000-0500-000006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47" name="Rectangle 2674">
              <a:extLst>
                <a:ext uri="{FF2B5EF4-FFF2-40B4-BE49-F238E27FC236}">
                  <a16:creationId xmlns:a16="http://schemas.microsoft.com/office/drawing/2014/main" id="{00000000-0008-0000-0500-000007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32" name="Group 2675">
            <a:extLst>
              <a:ext uri="{FF2B5EF4-FFF2-40B4-BE49-F238E27FC236}">
                <a16:creationId xmlns:a16="http://schemas.microsoft.com/office/drawing/2014/main" id="{00000000-0008-0000-0500-0000DC0F3400}"/>
              </a:ext>
            </a:extLst>
          </xdr:cNvPr>
          <xdr:cNvGrpSpPr>
            <a:grpSpLocks/>
          </xdr:cNvGrpSpPr>
        </xdr:nvGrpSpPr>
        <xdr:grpSpPr bwMode="auto">
          <a:xfrm>
            <a:off x="596" y="607"/>
            <a:ext cx="56" cy="25"/>
            <a:chOff x="2755" y="422"/>
            <a:chExt cx="56" cy="32"/>
          </a:xfrm>
        </xdr:grpSpPr>
        <xdr:sp macro="" textlink="">
          <xdr:nvSpPr>
            <xdr:cNvPr id="3415044" name="Rectangle 2676">
              <a:extLst>
                <a:ext uri="{FF2B5EF4-FFF2-40B4-BE49-F238E27FC236}">
                  <a16:creationId xmlns:a16="http://schemas.microsoft.com/office/drawing/2014/main" id="{00000000-0008-0000-0500-000004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45" name="Rectangle 2677">
              <a:extLst>
                <a:ext uri="{FF2B5EF4-FFF2-40B4-BE49-F238E27FC236}">
                  <a16:creationId xmlns:a16="http://schemas.microsoft.com/office/drawing/2014/main" id="{00000000-0008-0000-0500-000005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33" name="Group 2678">
            <a:extLst>
              <a:ext uri="{FF2B5EF4-FFF2-40B4-BE49-F238E27FC236}">
                <a16:creationId xmlns:a16="http://schemas.microsoft.com/office/drawing/2014/main" id="{00000000-0008-0000-0500-0000DD0F3400}"/>
              </a:ext>
            </a:extLst>
          </xdr:cNvPr>
          <xdr:cNvGrpSpPr>
            <a:grpSpLocks/>
          </xdr:cNvGrpSpPr>
        </xdr:nvGrpSpPr>
        <xdr:grpSpPr bwMode="auto">
          <a:xfrm>
            <a:off x="596" y="637"/>
            <a:ext cx="56" cy="25"/>
            <a:chOff x="2755" y="422"/>
            <a:chExt cx="56" cy="32"/>
          </a:xfrm>
        </xdr:grpSpPr>
        <xdr:sp macro="" textlink="">
          <xdr:nvSpPr>
            <xdr:cNvPr id="3415042" name="Rectangle 2679">
              <a:extLst>
                <a:ext uri="{FF2B5EF4-FFF2-40B4-BE49-F238E27FC236}">
                  <a16:creationId xmlns:a16="http://schemas.microsoft.com/office/drawing/2014/main" id="{00000000-0008-0000-0500-000002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43" name="Rectangle 2680">
              <a:extLst>
                <a:ext uri="{FF2B5EF4-FFF2-40B4-BE49-F238E27FC236}">
                  <a16:creationId xmlns:a16="http://schemas.microsoft.com/office/drawing/2014/main" id="{00000000-0008-0000-0500-000003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34" name="Group 2681">
            <a:extLst>
              <a:ext uri="{FF2B5EF4-FFF2-40B4-BE49-F238E27FC236}">
                <a16:creationId xmlns:a16="http://schemas.microsoft.com/office/drawing/2014/main" id="{00000000-0008-0000-0500-0000DE0F3400}"/>
              </a:ext>
            </a:extLst>
          </xdr:cNvPr>
          <xdr:cNvGrpSpPr>
            <a:grpSpLocks/>
          </xdr:cNvGrpSpPr>
        </xdr:nvGrpSpPr>
        <xdr:grpSpPr bwMode="auto">
          <a:xfrm>
            <a:off x="596" y="667"/>
            <a:ext cx="56" cy="25"/>
            <a:chOff x="2755" y="422"/>
            <a:chExt cx="56" cy="32"/>
          </a:xfrm>
        </xdr:grpSpPr>
        <xdr:sp macro="" textlink="">
          <xdr:nvSpPr>
            <xdr:cNvPr id="3415040" name="Rectangle 2682">
              <a:extLst>
                <a:ext uri="{FF2B5EF4-FFF2-40B4-BE49-F238E27FC236}">
                  <a16:creationId xmlns:a16="http://schemas.microsoft.com/office/drawing/2014/main" id="{00000000-0008-0000-0500-0000001C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5041" name="Rectangle 2683">
              <a:extLst>
                <a:ext uri="{FF2B5EF4-FFF2-40B4-BE49-F238E27FC236}">
                  <a16:creationId xmlns:a16="http://schemas.microsoft.com/office/drawing/2014/main" id="{00000000-0008-0000-0500-0000011C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35" name="Group 2684">
            <a:extLst>
              <a:ext uri="{FF2B5EF4-FFF2-40B4-BE49-F238E27FC236}">
                <a16:creationId xmlns:a16="http://schemas.microsoft.com/office/drawing/2014/main" id="{00000000-0008-0000-0500-0000DF0F3400}"/>
              </a:ext>
            </a:extLst>
          </xdr:cNvPr>
          <xdr:cNvGrpSpPr>
            <a:grpSpLocks/>
          </xdr:cNvGrpSpPr>
        </xdr:nvGrpSpPr>
        <xdr:grpSpPr bwMode="auto">
          <a:xfrm>
            <a:off x="596" y="697"/>
            <a:ext cx="56" cy="25"/>
            <a:chOff x="2755" y="422"/>
            <a:chExt cx="56" cy="32"/>
          </a:xfrm>
        </xdr:grpSpPr>
        <xdr:sp macro="" textlink="">
          <xdr:nvSpPr>
            <xdr:cNvPr id="3411966" name="Rectangle 2685">
              <a:extLst>
                <a:ext uri="{FF2B5EF4-FFF2-40B4-BE49-F238E27FC236}">
                  <a16:creationId xmlns:a16="http://schemas.microsoft.com/office/drawing/2014/main" id="{00000000-0008-0000-0500-0000FE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67" name="Rectangle 2686">
              <a:extLst>
                <a:ext uri="{FF2B5EF4-FFF2-40B4-BE49-F238E27FC236}">
                  <a16:creationId xmlns:a16="http://schemas.microsoft.com/office/drawing/2014/main" id="{00000000-0008-0000-0500-0000FF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36" name="Group 2687">
            <a:extLst>
              <a:ext uri="{FF2B5EF4-FFF2-40B4-BE49-F238E27FC236}">
                <a16:creationId xmlns:a16="http://schemas.microsoft.com/office/drawing/2014/main" id="{00000000-0008-0000-0500-0000E00F3400}"/>
              </a:ext>
            </a:extLst>
          </xdr:cNvPr>
          <xdr:cNvGrpSpPr>
            <a:grpSpLocks/>
          </xdr:cNvGrpSpPr>
        </xdr:nvGrpSpPr>
        <xdr:grpSpPr bwMode="auto">
          <a:xfrm>
            <a:off x="596" y="732"/>
            <a:ext cx="56" cy="25"/>
            <a:chOff x="2755" y="422"/>
            <a:chExt cx="56" cy="32"/>
          </a:xfrm>
        </xdr:grpSpPr>
        <xdr:sp macro="" textlink="">
          <xdr:nvSpPr>
            <xdr:cNvPr id="3411964" name="Rectangle 2688">
              <a:extLst>
                <a:ext uri="{FF2B5EF4-FFF2-40B4-BE49-F238E27FC236}">
                  <a16:creationId xmlns:a16="http://schemas.microsoft.com/office/drawing/2014/main" id="{00000000-0008-0000-0500-0000FC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65" name="Rectangle 2689">
              <a:extLst>
                <a:ext uri="{FF2B5EF4-FFF2-40B4-BE49-F238E27FC236}">
                  <a16:creationId xmlns:a16="http://schemas.microsoft.com/office/drawing/2014/main" id="{00000000-0008-0000-0500-0000FD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37" name="Group 2690">
            <a:extLst>
              <a:ext uri="{FF2B5EF4-FFF2-40B4-BE49-F238E27FC236}">
                <a16:creationId xmlns:a16="http://schemas.microsoft.com/office/drawing/2014/main" id="{00000000-0008-0000-0500-0000E10F3400}"/>
              </a:ext>
            </a:extLst>
          </xdr:cNvPr>
          <xdr:cNvGrpSpPr>
            <a:grpSpLocks/>
          </xdr:cNvGrpSpPr>
        </xdr:nvGrpSpPr>
        <xdr:grpSpPr bwMode="auto">
          <a:xfrm>
            <a:off x="596" y="762"/>
            <a:ext cx="56" cy="25"/>
            <a:chOff x="2755" y="422"/>
            <a:chExt cx="56" cy="32"/>
          </a:xfrm>
        </xdr:grpSpPr>
        <xdr:sp macro="" textlink="">
          <xdr:nvSpPr>
            <xdr:cNvPr id="3411962" name="Rectangle 2691">
              <a:extLst>
                <a:ext uri="{FF2B5EF4-FFF2-40B4-BE49-F238E27FC236}">
                  <a16:creationId xmlns:a16="http://schemas.microsoft.com/office/drawing/2014/main" id="{00000000-0008-0000-0500-0000FA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63" name="Rectangle 2692">
              <a:extLst>
                <a:ext uri="{FF2B5EF4-FFF2-40B4-BE49-F238E27FC236}">
                  <a16:creationId xmlns:a16="http://schemas.microsoft.com/office/drawing/2014/main" id="{00000000-0008-0000-0500-0000FB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38" name="Group 2693">
            <a:extLst>
              <a:ext uri="{FF2B5EF4-FFF2-40B4-BE49-F238E27FC236}">
                <a16:creationId xmlns:a16="http://schemas.microsoft.com/office/drawing/2014/main" id="{00000000-0008-0000-0500-0000E20F3400}"/>
              </a:ext>
            </a:extLst>
          </xdr:cNvPr>
          <xdr:cNvGrpSpPr>
            <a:grpSpLocks/>
          </xdr:cNvGrpSpPr>
        </xdr:nvGrpSpPr>
        <xdr:grpSpPr bwMode="auto">
          <a:xfrm>
            <a:off x="596" y="792"/>
            <a:ext cx="56" cy="25"/>
            <a:chOff x="2755" y="422"/>
            <a:chExt cx="56" cy="32"/>
          </a:xfrm>
        </xdr:grpSpPr>
        <xdr:sp macro="" textlink="">
          <xdr:nvSpPr>
            <xdr:cNvPr id="3411960" name="Rectangle 2694">
              <a:extLst>
                <a:ext uri="{FF2B5EF4-FFF2-40B4-BE49-F238E27FC236}">
                  <a16:creationId xmlns:a16="http://schemas.microsoft.com/office/drawing/2014/main" id="{00000000-0008-0000-0500-0000F8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61" name="Rectangle 2695">
              <a:extLst>
                <a:ext uri="{FF2B5EF4-FFF2-40B4-BE49-F238E27FC236}">
                  <a16:creationId xmlns:a16="http://schemas.microsoft.com/office/drawing/2014/main" id="{00000000-0008-0000-0500-0000F9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39" name="Group 2696">
            <a:extLst>
              <a:ext uri="{FF2B5EF4-FFF2-40B4-BE49-F238E27FC236}">
                <a16:creationId xmlns:a16="http://schemas.microsoft.com/office/drawing/2014/main" id="{00000000-0008-0000-0500-0000E30F3400}"/>
              </a:ext>
            </a:extLst>
          </xdr:cNvPr>
          <xdr:cNvGrpSpPr>
            <a:grpSpLocks/>
          </xdr:cNvGrpSpPr>
        </xdr:nvGrpSpPr>
        <xdr:grpSpPr bwMode="auto">
          <a:xfrm>
            <a:off x="596" y="822"/>
            <a:ext cx="56" cy="25"/>
            <a:chOff x="2755" y="422"/>
            <a:chExt cx="56" cy="32"/>
          </a:xfrm>
        </xdr:grpSpPr>
        <xdr:sp macro="" textlink="">
          <xdr:nvSpPr>
            <xdr:cNvPr id="3411958" name="Rectangle 2697">
              <a:extLst>
                <a:ext uri="{FF2B5EF4-FFF2-40B4-BE49-F238E27FC236}">
                  <a16:creationId xmlns:a16="http://schemas.microsoft.com/office/drawing/2014/main" id="{00000000-0008-0000-0500-0000F6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59" name="Rectangle 2698">
              <a:extLst>
                <a:ext uri="{FF2B5EF4-FFF2-40B4-BE49-F238E27FC236}">
                  <a16:creationId xmlns:a16="http://schemas.microsoft.com/office/drawing/2014/main" id="{00000000-0008-0000-0500-0000F7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40" name="Group 2699">
            <a:extLst>
              <a:ext uri="{FF2B5EF4-FFF2-40B4-BE49-F238E27FC236}">
                <a16:creationId xmlns:a16="http://schemas.microsoft.com/office/drawing/2014/main" id="{00000000-0008-0000-0500-0000E40F3400}"/>
              </a:ext>
            </a:extLst>
          </xdr:cNvPr>
          <xdr:cNvGrpSpPr>
            <a:grpSpLocks/>
          </xdr:cNvGrpSpPr>
        </xdr:nvGrpSpPr>
        <xdr:grpSpPr bwMode="auto">
          <a:xfrm>
            <a:off x="596" y="852"/>
            <a:ext cx="56" cy="25"/>
            <a:chOff x="2755" y="422"/>
            <a:chExt cx="56" cy="32"/>
          </a:xfrm>
        </xdr:grpSpPr>
        <xdr:sp macro="" textlink="">
          <xdr:nvSpPr>
            <xdr:cNvPr id="3411956" name="Rectangle 2700">
              <a:extLst>
                <a:ext uri="{FF2B5EF4-FFF2-40B4-BE49-F238E27FC236}">
                  <a16:creationId xmlns:a16="http://schemas.microsoft.com/office/drawing/2014/main" id="{00000000-0008-0000-0500-0000F4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57" name="Rectangle 2701">
              <a:extLst>
                <a:ext uri="{FF2B5EF4-FFF2-40B4-BE49-F238E27FC236}">
                  <a16:creationId xmlns:a16="http://schemas.microsoft.com/office/drawing/2014/main" id="{00000000-0008-0000-0500-0000F5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41" name="Group 2702">
            <a:extLst>
              <a:ext uri="{FF2B5EF4-FFF2-40B4-BE49-F238E27FC236}">
                <a16:creationId xmlns:a16="http://schemas.microsoft.com/office/drawing/2014/main" id="{00000000-0008-0000-0500-0000E50F3400}"/>
              </a:ext>
            </a:extLst>
          </xdr:cNvPr>
          <xdr:cNvGrpSpPr>
            <a:grpSpLocks/>
          </xdr:cNvGrpSpPr>
        </xdr:nvGrpSpPr>
        <xdr:grpSpPr bwMode="auto">
          <a:xfrm>
            <a:off x="596" y="887"/>
            <a:ext cx="56" cy="25"/>
            <a:chOff x="2755" y="422"/>
            <a:chExt cx="56" cy="32"/>
          </a:xfrm>
        </xdr:grpSpPr>
        <xdr:sp macro="" textlink="">
          <xdr:nvSpPr>
            <xdr:cNvPr id="3411954" name="Rectangle 2703">
              <a:extLst>
                <a:ext uri="{FF2B5EF4-FFF2-40B4-BE49-F238E27FC236}">
                  <a16:creationId xmlns:a16="http://schemas.microsoft.com/office/drawing/2014/main" id="{00000000-0008-0000-0500-0000F2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55" name="Rectangle 2704">
              <a:extLst>
                <a:ext uri="{FF2B5EF4-FFF2-40B4-BE49-F238E27FC236}">
                  <a16:creationId xmlns:a16="http://schemas.microsoft.com/office/drawing/2014/main" id="{00000000-0008-0000-0500-0000F3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42" name="Group 2705">
            <a:extLst>
              <a:ext uri="{FF2B5EF4-FFF2-40B4-BE49-F238E27FC236}">
                <a16:creationId xmlns:a16="http://schemas.microsoft.com/office/drawing/2014/main" id="{00000000-0008-0000-0500-0000E60F3400}"/>
              </a:ext>
            </a:extLst>
          </xdr:cNvPr>
          <xdr:cNvGrpSpPr>
            <a:grpSpLocks/>
          </xdr:cNvGrpSpPr>
        </xdr:nvGrpSpPr>
        <xdr:grpSpPr bwMode="auto">
          <a:xfrm>
            <a:off x="596" y="917"/>
            <a:ext cx="56" cy="25"/>
            <a:chOff x="2755" y="422"/>
            <a:chExt cx="56" cy="32"/>
          </a:xfrm>
        </xdr:grpSpPr>
        <xdr:sp macro="" textlink="">
          <xdr:nvSpPr>
            <xdr:cNvPr id="3411952" name="Rectangle 2706">
              <a:extLst>
                <a:ext uri="{FF2B5EF4-FFF2-40B4-BE49-F238E27FC236}">
                  <a16:creationId xmlns:a16="http://schemas.microsoft.com/office/drawing/2014/main" id="{00000000-0008-0000-0500-0000F0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53" name="Rectangle 2707">
              <a:extLst>
                <a:ext uri="{FF2B5EF4-FFF2-40B4-BE49-F238E27FC236}">
                  <a16:creationId xmlns:a16="http://schemas.microsoft.com/office/drawing/2014/main" id="{00000000-0008-0000-0500-0000F1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43" name="Group 2708">
            <a:extLst>
              <a:ext uri="{FF2B5EF4-FFF2-40B4-BE49-F238E27FC236}">
                <a16:creationId xmlns:a16="http://schemas.microsoft.com/office/drawing/2014/main" id="{00000000-0008-0000-0500-0000E70F3400}"/>
              </a:ext>
            </a:extLst>
          </xdr:cNvPr>
          <xdr:cNvGrpSpPr>
            <a:grpSpLocks/>
          </xdr:cNvGrpSpPr>
        </xdr:nvGrpSpPr>
        <xdr:grpSpPr bwMode="auto">
          <a:xfrm>
            <a:off x="596" y="947"/>
            <a:ext cx="56" cy="25"/>
            <a:chOff x="2755" y="422"/>
            <a:chExt cx="56" cy="32"/>
          </a:xfrm>
        </xdr:grpSpPr>
        <xdr:sp macro="" textlink="">
          <xdr:nvSpPr>
            <xdr:cNvPr id="3411950" name="Rectangle 2709">
              <a:extLst>
                <a:ext uri="{FF2B5EF4-FFF2-40B4-BE49-F238E27FC236}">
                  <a16:creationId xmlns:a16="http://schemas.microsoft.com/office/drawing/2014/main" id="{00000000-0008-0000-0500-0000EE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51" name="Rectangle 2710">
              <a:extLst>
                <a:ext uri="{FF2B5EF4-FFF2-40B4-BE49-F238E27FC236}">
                  <a16:creationId xmlns:a16="http://schemas.microsoft.com/office/drawing/2014/main" id="{00000000-0008-0000-0500-0000EF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44" name="Group 2711">
            <a:extLst>
              <a:ext uri="{FF2B5EF4-FFF2-40B4-BE49-F238E27FC236}">
                <a16:creationId xmlns:a16="http://schemas.microsoft.com/office/drawing/2014/main" id="{00000000-0008-0000-0500-0000E80F3400}"/>
              </a:ext>
            </a:extLst>
          </xdr:cNvPr>
          <xdr:cNvGrpSpPr>
            <a:grpSpLocks/>
          </xdr:cNvGrpSpPr>
        </xdr:nvGrpSpPr>
        <xdr:grpSpPr bwMode="auto">
          <a:xfrm>
            <a:off x="596" y="977"/>
            <a:ext cx="56" cy="25"/>
            <a:chOff x="2755" y="422"/>
            <a:chExt cx="56" cy="32"/>
          </a:xfrm>
        </xdr:grpSpPr>
        <xdr:sp macro="" textlink="">
          <xdr:nvSpPr>
            <xdr:cNvPr id="3411948" name="Rectangle 2712">
              <a:extLst>
                <a:ext uri="{FF2B5EF4-FFF2-40B4-BE49-F238E27FC236}">
                  <a16:creationId xmlns:a16="http://schemas.microsoft.com/office/drawing/2014/main" id="{00000000-0008-0000-0500-0000EC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49" name="Rectangle 2713">
              <a:extLst>
                <a:ext uri="{FF2B5EF4-FFF2-40B4-BE49-F238E27FC236}">
                  <a16:creationId xmlns:a16="http://schemas.microsoft.com/office/drawing/2014/main" id="{00000000-0008-0000-0500-0000ED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nvGrpSpPr>
          <xdr:cNvPr id="3411945" name="Group 2714">
            <a:extLst>
              <a:ext uri="{FF2B5EF4-FFF2-40B4-BE49-F238E27FC236}">
                <a16:creationId xmlns:a16="http://schemas.microsoft.com/office/drawing/2014/main" id="{00000000-0008-0000-0500-0000E90F3400}"/>
              </a:ext>
            </a:extLst>
          </xdr:cNvPr>
          <xdr:cNvGrpSpPr>
            <a:grpSpLocks/>
          </xdr:cNvGrpSpPr>
        </xdr:nvGrpSpPr>
        <xdr:grpSpPr bwMode="auto">
          <a:xfrm>
            <a:off x="596" y="1007"/>
            <a:ext cx="56" cy="25"/>
            <a:chOff x="2755" y="422"/>
            <a:chExt cx="56" cy="32"/>
          </a:xfrm>
        </xdr:grpSpPr>
        <xdr:sp macro="" textlink="">
          <xdr:nvSpPr>
            <xdr:cNvPr id="3411946" name="Rectangle 2715">
              <a:extLst>
                <a:ext uri="{FF2B5EF4-FFF2-40B4-BE49-F238E27FC236}">
                  <a16:creationId xmlns:a16="http://schemas.microsoft.com/office/drawing/2014/main" id="{00000000-0008-0000-0500-0000EA0F3400}"/>
                </a:ext>
              </a:extLst>
            </xdr:cNvPr>
            <xdr:cNvSpPr>
              <a:spLocks noChangeArrowheads="1"/>
            </xdr:cNvSpPr>
          </xdr:nvSpPr>
          <xdr:spPr bwMode="auto">
            <a:xfrm>
              <a:off x="2755" y="422"/>
              <a:ext cx="28" cy="32"/>
            </a:xfrm>
            <a:prstGeom prst="rect">
              <a:avLst/>
            </a:prstGeom>
            <a:solidFill>
              <a:srgbClr val="FFFFFF"/>
            </a:solidFill>
            <a:ln w="9525">
              <a:solidFill>
                <a:srgbClr val="C0C0C0"/>
              </a:solidFill>
              <a:miter lim="800000"/>
              <a:headEnd/>
              <a:tailEnd/>
            </a:ln>
          </xdr:spPr>
        </xdr:sp>
        <xdr:sp macro="" textlink="">
          <xdr:nvSpPr>
            <xdr:cNvPr id="3411947" name="Rectangle 2716">
              <a:extLst>
                <a:ext uri="{FF2B5EF4-FFF2-40B4-BE49-F238E27FC236}">
                  <a16:creationId xmlns:a16="http://schemas.microsoft.com/office/drawing/2014/main" id="{00000000-0008-0000-0500-0000EB0F3400}"/>
                </a:ext>
              </a:extLst>
            </xdr:cNvPr>
            <xdr:cNvSpPr>
              <a:spLocks noChangeArrowheads="1"/>
            </xdr:cNvSpPr>
          </xdr:nvSpPr>
          <xdr:spPr bwMode="auto">
            <a:xfrm>
              <a:off x="2783" y="422"/>
              <a:ext cx="28" cy="32"/>
            </a:xfrm>
            <a:prstGeom prst="rect">
              <a:avLst/>
            </a:prstGeom>
            <a:solidFill>
              <a:srgbClr val="FFFFFF"/>
            </a:solidFill>
            <a:ln w="9525">
              <a:solidFill>
                <a:srgbClr val="C0C0C0"/>
              </a:solidFill>
              <a:miter lim="800000"/>
              <a:headEnd/>
              <a:tailEnd/>
            </a:ln>
          </xdr:spPr>
        </xdr:sp>
      </xdr:grpSp>
    </xdr:grp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446498</xdr:colOff>
      <xdr:row>1</xdr:row>
      <xdr:rowOff>37775</xdr:rowOff>
    </xdr:from>
    <xdr:to>
      <xdr:col>3</xdr:col>
      <xdr:colOff>556126</xdr:colOff>
      <xdr:row>2</xdr:row>
      <xdr:rowOff>96371</xdr:rowOff>
    </xdr:to>
    <xdr:grpSp>
      <xdr:nvGrpSpPr>
        <xdr:cNvPr id="3385494" name="Group 310">
          <a:extLst>
            <a:ext uri="{FF2B5EF4-FFF2-40B4-BE49-F238E27FC236}">
              <a16:creationId xmlns:a16="http://schemas.microsoft.com/office/drawing/2014/main" id="{00000000-0008-0000-0D00-000096A83300}"/>
            </a:ext>
          </a:extLst>
        </xdr:cNvPr>
        <xdr:cNvGrpSpPr>
          <a:grpSpLocks/>
        </xdr:cNvGrpSpPr>
      </xdr:nvGrpSpPr>
      <xdr:grpSpPr bwMode="auto">
        <a:xfrm>
          <a:off x="3227798" y="199700"/>
          <a:ext cx="843053" cy="230046"/>
          <a:chOff x="292" y="232"/>
          <a:chExt cx="70" cy="34"/>
        </a:xfrm>
      </xdr:grpSpPr>
      <xdr:sp macro="" textlink="">
        <xdr:nvSpPr>
          <xdr:cNvPr id="3385495" name="Rectangle 1">
            <a:extLst>
              <a:ext uri="{FF2B5EF4-FFF2-40B4-BE49-F238E27FC236}">
                <a16:creationId xmlns:a16="http://schemas.microsoft.com/office/drawing/2014/main" id="{00000000-0008-0000-0D00-000097A83300}"/>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3385496" name="Rectangle 1">
            <a:extLst>
              <a:ext uri="{FF2B5EF4-FFF2-40B4-BE49-F238E27FC236}">
                <a16:creationId xmlns:a16="http://schemas.microsoft.com/office/drawing/2014/main" id="{00000000-0008-0000-0D00-000098A83300}"/>
              </a:ext>
            </a:extLst>
          </xdr:cNvPr>
          <xdr:cNvSpPr>
            <a:spLocks noChangeArrowheads="1"/>
          </xdr:cNvSpPr>
        </xdr:nvSpPr>
        <xdr:spPr bwMode="auto">
          <a:xfrm>
            <a:off x="336" y="232"/>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314325</xdr:colOff>
      <xdr:row>2</xdr:row>
      <xdr:rowOff>161925</xdr:rowOff>
    </xdr:from>
    <xdr:to>
      <xdr:col>10</xdr:col>
      <xdr:colOff>228600</xdr:colOff>
      <xdr:row>3</xdr:row>
      <xdr:rowOff>200025</xdr:rowOff>
    </xdr:to>
    <xdr:grpSp>
      <xdr:nvGrpSpPr>
        <xdr:cNvPr id="3387018" name="Group 310">
          <a:extLst>
            <a:ext uri="{FF2B5EF4-FFF2-40B4-BE49-F238E27FC236}">
              <a16:creationId xmlns:a16="http://schemas.microsoft.com/office/drawing/2014/main" id="{00000000-0008-0000-0E00-00008AAE3300}"/>
            </a:ext>
          </a:extLst>
        </xdr:cNvPr>
        <xdr:cNvGrpSpPr>
          <a:grpSpLocks/>
        </xdr:cNvGrpSpPr>
      </xdr:nvGrpSpPr>
      <xdr:grpSpPr bwMode="auto">
        <a:xfrm>
          <a:off x="4276725" y="581025"/>
          <a:ext cx="1714500" cy="247650"/>
          <a:chOff x="292" y="235"/>
          <a:chExt cx="53" cy="31"/>
        </a:xfrm>
      </xdr:grpSpPr>
      <xdr:sp macro="" textlink="">
        <xdr:nvSpPr>
          <xdr:cNvPr id="3387029" name="Rectangle 1">
            <a:extLst>
              <a:ext uri="{FF2B5EF4-FFF2-40B4-BE49-F238E27FC236}">
                <a16:creationId xmlns:a16="http://schemas.microsoft.com/office/drawing/2014/main" id="{00000000-0008-0000-0E00-000095AE3300}"/>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3387030" name="Rectangle 1">
            <a:extLst>
              <a:ext uri="{FF2B5EF4-FFF2-40B4-BE49-F238E27FC236}">
                <a16:creationId xmlns:a16="http://schemas.microsoft.com/office/drawing/2014/main" id="{00000000-0008-0000-0E00-000096AE3300}"/>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twoCellAnchor>
    <xdr:from>
      <xdr:col>4</xdr:col>
      <xdr:colOff>9525</xdr:colOff>
      <xdr:row>8</xdr:row>
      <xdr:rowOff>0</xdr:rowOff>
    </xdr:from>
    <xdr:to>
      <xdr:col>4</xdr:col>
      <xdr:colOff>533400</xdr:colOff>
      <xdr:row>9</xdr:row>
      <xdr:rowOff>161925</xdr:rowOff>
    </xdr:to>
    <xdr:sp macro="" textlink="">
      <xdr:nvSpPr>
        <xdr:cNvPr id="3387019" name="Rectangle 1">
          <a:extLst>
            <a:ext uri="{FF2B5EF4-FFF2-40B4-BE49-F238E27FC236}">
              <a16:creationId xmlns:a16="http://schemas.microsoft.com/office/drawing/2014/main" id="{00000000-0008-0000-0E00-00008BAE3300}"/>
            </a:ext>
          </a:extLst>
        </xdr:cNvPr>
        <xdr:cNvSpPr>
          <a:spLocks noChangeArrowheads="1"/>
        </xdr:cNvSpPr>
      </xdr:nvSpPr>
      <xdr:spPr bwMode="auto">
        <a:xfrm>
          <a:off x="1533525" y="1371600"/>
          <a:ext cx="523875" cy="3333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14</xdr:row>
      <xdr:rowOff>171450</xdr:rowOff>
    </xdr:from>
    <xdr:to>
      <xdr:col>4</xdr:col>
      <xdr:colOff>523875</xdr:colOff>
      <xdr:row>16</xdr:row>
      <xdr:rowOff>152400</xdr:rowOff>
    </xdr:to>
    <xdr:sp macro="" textlink="">
      <xdr:nvSpPr>
        <xdr:cNvPr id="3387020" name="Rectangle 1">
          <a:extLst>
            <a:ext uri="{FF2B5EF4-FFF2-40B4-BE49-F238E27FC236}">
              <a16:creationId xmlns:a16="http://schemas.microsoft.com/office/drawing/2014/main" id="{00000000-0008-0000-0E00-00008CAE3300}"/>
            </a:ext>
          </a:extLst>
        </xdr:cNvPr>
        <xdr:cNvSpPr>
          <a:spLocks noChangeArrowheads="1"/>
        </xdr:cNvSpPr>
      </xdr:nvSpPr>
      <xdr:spPr bwMode="auto">
        <a:xfrm>
          <a:off x="1524000" y="2571750"/>
          <a:ext cx="523875" cy="323850"/>
        </a:xfrm>
        <a:prstGeom prst="rect">
          <a:avLst/>
        </a:prstGeom>
        <a:solidFill>
          <a:srgbClr val="FFFFFF"/>
        </a:solidFill>
        <a:ln w="9525">
          <a:solidFill>
            <a:srgbClr val="000000"/>
          </a:solidFill>
          <a:miter lim="800000"/>
          <a:headEnd/>
          <a:tailEnd/>
        </a:ln>
      </xdr:spPr>
    </xdr:sp>
    <xdr:clientData/>
  </xdr:twoCellAnchor>
  <xdr:twoCellAnchor>
    <xdr:from>
      <xdr:col>4</xdr:col>
      <xdr:colOff>9525</xdr:colOff>
      <xdr:row>22</xdr:row>
      <xdr:rowOff>9525</xdr:rowOff>
    </xdr:from>
    <xdr:to>
      <xdr:col>4</xdr:col>
      <xdr:colOff>533400</xdr:colOff>
      <xdr:row>23</xdr:row>
      <xdr:rowOff>161925</xdr:rowOff>
    </xdr:to>
    <xdr:sp macro="" textlink="">
      <xdr:nvSpPr>
        <xdr:cNvPr id="3387021" name="Rectangle 1">
          <a:extLst>
            <a:ext uri="{FF2B5EF4-FFF2-40B4-BE49-F238E27FC236}">
              <a16:creationId xmlns:a16="http://schemas.microsoft.com/office/drawing/2014/main" id="{00000000-0008-0000-0E00-00008DAE3300}"/>
            </a:ext>
          </a:extLst>
        </xdr:cNvPr>
        <xdr:cNvSpPr>
          <a:spLocks noChangeArrowheads="1"/>
        </xdr:cNvSpPr>
      </xdr:nvSpPr>
      <xdr:spPr bwMode="auto">
        <a:xfrm>
          <a:off x="1533525" y="3800475"/>
          <a:ext cx="523875" cy="323850"/>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29</xdr:row>
      <xdr:rowOff>0</xdr:rowOff>
    </xdr:from>
    <xdr:to>
      <xdr:col>4</xdr:col>
      <xdr:colOff>523875</xdr:colOff>
      <xdr:row>30</xdr:row>
      <xdr:rowOff>161925</xdr:rowOff>
    </xdr:to>
    <xdr:sp macro="" textlink="">
      <xdr:nvSpPr>
        <xdr:cNvPr id="3387022" name="Rectangle 1">
          <a:extLst>
            <a:ext uri="{FF2B5EF4-FFF2-40B4-BE49-F238E27FC236}">
              <a16:creationId xmlns:a16="http://schemas.microsoft.com/office/drawing/2014/main" id="{00000000-0008-0000-0E00-00008EAE3300}"/>
            </a:ext>
          </a:extLst>
        </xdr:cNvPr>
        <xdr:cNvSpPr>
          <a:spLocks noChangeArrowheads="1"/>
        </xdr:cNvSpPr>
      </xdr:nvSpPr>
      <xdr:spPr bwMode="auto">
        <a:xfrm>
          <a:off x="1524000" y="4991100"/>
          <a:ext cx="523875" cy="333375"/>
        </a:xfrm>
        <a:prstGeom prst="rect">
          <a:avLst/>
        </a:prstGeom>
        <a:solidFill>
          <a:srgbClr val="FFFFFF"/>
        </a:solidFill>
        <a:ln w="9525">
          <a:solidFill>
            <a:srgbClr val="000000"/>
          </a:solidFill>
          <a:miter lim="800000"/>
          <a:headEnd/>
          <a:tailEnd/>
        </a:ln>
      </xdr:spPr>
    </xdr:sp>
    <xdr:clientData/>
  </xdr:twoCellAnchor>
  <xdr:twoCellAnchor>
    <xdr:from>
      <xdr:col>4</xdr:col>
      <xdr:colOff>0</xdr:colOff>
      <xdr:row>36</xdr:row>
      <xdr:rowOff>0</xdr:rowOff>
    </xdr:from>
    <xdr:to>
      <xdr:col>4</xdr:col>
      <xdr:colOff>523875</xdr:colOff>
      <xdr:row>37</xdr:row>
      <xdr:rowOff>161925</xdr:rowOff>
    </xdr:to>
    <xdr:sp macro="" textlink="">
      <xdr:nvSpPr>
        <xdr:cNvPr id="3387023" name="Rectangle 1">
          <a:extLst>
            <a:ext uri="{FF2B5EF4-FFF2-40B4-BE49-F238E27FC236}">
              <a16:creationId xmlns:a16="http://schemas.microsoft.com/office/drawing/2014/main" id="{00000000-0008-0000-0E00-00008FAE3300}"/>
            </a:ext>
          </a:extLst>
        </xdr:cNvPr>
        <xdr:cNvSpPr>
          <a:spLocks noChangeArrowheads="1"/>
        </xdr:cNvSpPr>
      </xdr:nvSpPr>
      <xdr:spPr bwMode="auto">
        <a:xfrm>
          <a:off x="1524000" y="6191250"/>
          <a:ext cx="523875" cy="333375"/>
        </a:xfrm>
        <a:prstGeom prst="rect">
          <a:avLst/>
        </a:prstGeom>
        <a:solidFill>
          <a:srgbClr val="FFFFFF"/>
        </a:solidFill>
        <a:ln w="9525">
          <a:solidFill>
            <a:srgbClr val="000000"/>
          </a:solidFill>
          <a:miter lim="800000"/>
          <a:headEnd/>
          <a:tailEnd/>
        </a:ln>
      </xdr:spPr>
    </xdr:sp>
    <xdr:clientData/>
  </xdr:twoCellAnchor>
  <xdr:twoCellAnchor>
    <xdr:from>
      <xdr:col>12</xdr:col>
      <xdr:colOff>600075</xdr:colOff>
      <xdr:row>8</xdr:row>
      <xdr:rowOff>9525</xdr:rowOff>
    </xdr:from>
    <xdr:to>
      <xdr:col>13</xdr:col>
      <xdr:colOff>514350</xdr:colOff>
      <xdr:row>9</xdr:row>
      <xdr:rowOff>161925</xdr:rowOff>
    </xdr:to>
    <xdr:sp macro="" textlink="">
      <xdr:nvSpPr>
        <xdr:cNvPr id="3387024" name="Rectangle 1">
          <a:extLst>
            <a:ext uri="{FF2B5EF4-FFF2-40B4-BE49-F238E27FC236}">
              <a16:creationId xmlns:a16="http://schemas.microsoft.com/office/drawing/2014/main" id="{00000000-0008-0000-0E00-000090AE3300}"/>
            </a:ext>
          </a:extLst>
        </xdr:cNvPr>
        <xdr:cNvSpPr>
          <a:spLocks noChangeArrowheads="1"/>
        </xdr:cNvSpPr>
      </xdr:nvSpPr>
      <xdr:spPr bwMode="auto">
        <a:xfrm>
          <a:off x="5819775" y="1381125"/>
          <a:ext cx="523875" cy="323850"/>
        </a:xfrm>
        <a:prstGeom prst="rect">
          <a:avLst/>
        </a:prstGeom>
        <a:solidFill>
          <a:srgbClr val="FFFFFF"/>
        </a:solidFill>
        <a:ln w="9525">
          <a:solidFill>
            <a:srgbClr val="000000"/>
          </a:solidFill>
          <a:miter lim="800000"/>
          <a:headEnd/>
          <a:tailEnd/>
        </a:ln>
      </xdr:spPr>
    </xdr:sp>
    <xdr:clientData/>
  </xdr:twoCellAnchor>
  <xdr:twoCellAnchor>
    <xdr:from>
      <xdr:col>13</xdr:col>
      <xdr:colOff>609600</xdr:colOff>
      <xdr:row>14</xdr:row>
      <xdr:rowOff>28575</xdr:rowOff>
    </xdr:from>
    <xdr:to>
      <xdr:col>14</xdr:col>
      <xdr:colOff>523875</xdr:colOff>
      <xdr:row>16</xdr:row>
      <xdr:rowOff>19050</xdr:rowOff>
    </xdr:to>
    <xdr:sp macro="" textlink="">
      <xdr:nvSpPr>
        <xdr:cNvPr id="3387025" name="Rectangle 1">
          <a:extLst>
            <a:ext uri="{FF2B5EF4-FFF2-40B4-BE49-F238E27FC236}">
              <a16:creationId xmlns:a16="http://schemas.microsoft.com/office/drawing/2014/main" id="{00000000-0008-0000-0E00-000091AE3300}"/>
            </a:ext>
          </a:extLst>
        </xdr:cNvPr>
        <xdr:cNvSpPr>
          <a:spLocks noChangeArrowheads="1"/>
        </xdr:cNvSpPr>
      </xdr:nvSpPr>
      <xdr:spPr bwMode="auto">
        <a:xfrm>
          <a:off x="6438900" y="2428875"/>
          <a:ext cx="523875" cy="333375"/>
        </a:xfrm>
        <a:prstGeom prst="rect">
          <a:avLst/>
        </a:prstGeom>
        <a:solidFill>
          <a:srgbClr val="FFFFFF"/>
        </a:solidFill>
        <a:ln w="9525">
          <a:solidFill>
            <a:srgbClr val="000000"/>
          </a:solidFill>
          <a:miter lim="800000"/>
          <a:headEnd/>
          <a:tailEnd/>
        </a:ln>
      </xdr:spPr>
    </xdr:sp>
    <xdr:clientData/>
  </xdr:twoCellAnchor>
  <xdr:twoCellAnchor>
    <xdr:from>
      <xdr:col>15</xdr:col>
      <xdr:colOff>114300</xdr:colOff>
      <xdr:row>23</xdr:row>
      <xdr:rowOff>104775</xdr:rowOff>
    </xdr:from>
    <xdr:to>
      <xdr:col>16</xdr:col>
      <xdr:colOff>28575</xdr:colOff>
      <xdr:row>25</xdr:row>
      <xdr:rowOff>95250</xdr:rowOff>
    </xdr:to>
    <xdr:sp macro="" textlink="">
      <xdr:nvSpPr>
        <xdr:cNvPr id="3387026" name="Rectangle 1">
          <a:extLst>
            <a:ext uri="{FF2B5EF4-FFF2-40B4-BE49-F238E27FC236}">
              <a16:creationId xmlns:a16="http://schemas.microsoft.com/office/drawing/2014/main" id="{00000000-0008-0000-0E00-000092AE3300}"/>
            </a:ext>
          </a:extLst>
        </xdr:cNvPr>
        <xdr:cNvSpPr>
          <a:spLocks noChangeArrowheads="1"/>
        </xdr:cNvSpPr>
      </xdr:nvSpPr>
      <xdr:spPr bwMode="auto">
        <a:xfrm>
          <a:off x="7162800" y="4810125"/>
          <a:ext cx="523875" cy="371475"/>
        </a:xfrm>
        <a:prstGeom prst="rect">
          <a:avLst/>
        </a:prstGeom>
        <a:solidFill>
          <a:srgbClr val="FFFFFF"/>
        </a:solidFill>
        <a:ln w="9525">
          <a:solidFill>
            <a:srgbClr val="000000"/>
          </a:solidFill>
          <a:miter lim="800000"/>
          <a:headEnd/>
          <a:tailEnd/>
        </a:ln>
      </xdr:spPr>
    </xdr:sp>
    <xdr:clientData/>
  </xdr:twoCellAnchor>
  <xdr:twoCellAnchor>
    <xdr:from>
      <xdr:col>13</xdr:col>
      <xdr:colOff>609600</xdr:colOff>
      <xdr:row>30</xdr:row>
      <xdr:rowOff>28575</xdr:rowOff>
    </xdr:from>
    <xdr:to>
      <xdr:col>14</xdr:col>
      <xdr:colOff>523875</xdr:colOff>
      <xdr:row>32</xdr:row>
      <xdr:rowOff>9525</xdr:rowOff>
    </xdr:to>
    <xdr:sp macro="" textlink="">
      <xdr:nvSpPr>
        <xdr:cNvPr id="3387027" name="Rectangle 1">
          <a:extLst>
            <a:ext uri="{FF2B5EF4-FFF2-40B4-BE49-F238E27FC236}">
              <a16:creationId xmlns:a16="http://schemas.microsoft.com/office/drawing/2014/main" id="{00000000-0008-0000-0E00-000093AE3300}"/>
            </a:ext>
          </a:extLst>
        </xdr:cNvPr>
        <xdr:cNvSpPr>
          <a:spLocks noChangeArrowheads="1"/>
        </xdr:cNvSpPr>
      </xdr:nvSpPr>
      <xdr:spPr bwMode="auto">
        <a:xfrm>
          <a:off x="6438900" y="5191125"/>
          <a:ext cx="523875" cy="323850"/>
        </a:xfrm>
        <a:prstGeom prst="rect">
          <a:avLst/>
        </a:prstGeom>
        <a:solidFill>
          <a:srgbClr val="FFFFFF"/>
        </a:solidFill>
        <a:ln w="9525">
          <a:solidFill>
            <a:srgbClr val="000000"/>
          </a:solidFill>
          <a:miter lim="800000"/>
          <a:headEnd/>
          <a:tailEnd/>
        </a:ln>
      </xdr:spPr>
    </xdr:sp>
    <xdr:clientData/>
  </xdr:twoCellAnchor>
  <xdr:twoCellAnchor>
    <xdr:from>
      <xdr:col>15</xdr:col>
      <xdr:colOff>9525</xdr:colOff>
      <xdr:row>37</xdr:row>
      <xdr:rowOff>161925</xdr:rowOff>
    </xdr:from>
    <xdr:to>
      <xdr:col>15</xdr:col>
      <xdr:colOff>533400</xdr:colOff>
      <xdr:row>39</xdr:row>
      <xdr:rowOff>152400</xdr:rowOff>
    </xdr:to>
    <xdr:sp macro="" textlink="">
      <xdr:nvSpPr>
        <xdr:cNvPr id="3387028" name="Rectangle 1">
          <a:extLst>
            <a:ext uri="{FF2B5EF4-FFF2-40B4-BE49-F238E27FC236}">
              <a16:creationId xmlns:a16="http://schemas.microsoft.com/office/drawing/2014/main" id="{00000000-0008-0000-0E00-000094AE3300}"/>
            </a:ext>
          </a:extLst>
        </xdr:cNvPr>
        <xdr:cNvSpPr>
          <a:spLocks noChangeArrowheads="1"/>
        </xdr:cNvSpPr>
      </xdr:nvSpPr>
      <xdr:spPr bwMode="auto">
        <a:xfrm>
          <a:off x="7058025" y="6524625"/>
          <a:ext cx="523875" cy="333375"/>
        </a:xfrm>
        <a:prstGeom prst="rect">
          <a:avLst/>
        </a:prstGeom>
        <a:solidFill>
          <a:srgbClr val="FFFFFF"/>
        </a:solidFill>
        <a:ln w="9525">
          <a:solidFill>
            <a:srgbClr val="000000"/>
          </a:solidFill>
          <a:miter lim="800000"/>
          <a:headEnd/>
          <a:tailEnd/>
        </a:ln>
      </xdr:spPr>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123825</xdr:colOff>
      <xdr:row>2</xdr:row>
      <xdr:rowOff>166688</xdr:rowOff>
    </xdr:from>
    <xdr:to>
      <xdr:col>5</xdr:col>
      <xdr:colOff>695325</xdr:colOff>
      <xdr:row>4</xdr:row>
      <xdr:rowOff>119063</xdr:rowOff>
    </xdr:to>
    <xdr:grpSp>
      <xdr:nvGrpSpPr>
        <xdr:cNvPr id="3387542" name="Group 310">
          <a:extLst>
            <a:ext uri="{FF2B5EF4-FFF2-40B4-BE49-F238E27FC236}">
              <a16:creationId xmlns:a16="http://schemas.microsoft.com/office/drawing/2014/main" id="{00000000-0008-0000-0F00-000096B03300}"/>
            </a:ext>
          </a:extLst>
        </xdr:cNvPr>
        <xdr:cNvGrpSpPr>
          <a:grpSpLocks/>
        </xdr:cNvGrpSpPr>
      </xdr:nvGrpSpPr>
      <xdr:grpSpPr bwMode="auto">
        <a:xfrm>
          <a:off x="3400425" y="509588"/>
          <a:ext cx="571500" cy="295275"/>
          <a:chOff x="292" y="235"/>
          <a:chExt cx="53" cy="31"/>
        </a:xfrm>
      </xdr:grpSpPr>
      <xdr:sp macro="" textlink="">
        <xdr:nvSpPr>
          <xdr:cNvPr id="3387543" name="Rectangle 1">
            <a:extLst>
              <a:ext uri="{FF2B5EF4-FFF2-40B4-BE49-F238E27FC236}">
                <a16:creationId xmlns:a16="http://schemas.microsoft.com/office/drawing/2014/main" id="{00000000-0008-0000-0F00-000097B03300}"/>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3387544" name="Rectangle 1">
            <a:extLst>
              <a:ext uri="{FF2B5EF4-FFF2-40B4-BE49-F238E27FC236}">
                <a16:creationId xmlns:a16="http://schemas.microsoft.com/office/drawing/2014/main" id="{00000000-0008-0000-0F00-000098B03300}"/>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384175</xdr:colOff>
      <xdr:row>2</xdr:row>
      <xdr:rowOff>12700</xdr:rowOff>
    </xdr:from>
    <xdr:to>
      <xdr:col>3</xdr:col>
      <xdr:colOff>1136650</xdr:colOff>
      <xdr:row>3</xdr:row>
      <xdr:rowOff>117475</xdr:rowOff>
    </xdr:to>
    <xdr:sp macro="" textlink="">
      <xdr:nvSpPr>
        <xdr:cNvPr id="1848188" name="Rectangle 4">
          <a:extLst>
            <a:ext uri="{FF2B5EF4-FFF2-40B4-BE49-F238E27FC236}">
              <a16:creationId xmlns:a16="http://schemas.microsoft.com/office/drawing/2014/main" id="{00000000-0008-0000-1000-00007C331C00}"/>
            </a:ext>
          </a:extLst>
        </xdr:cNvPr>
        <xdr:cNvSpPr>
          <a:spLocks noChangeArrowheads="1"/>
        </xdr:cNvSpPr>
      </xdr:nvSpPr>
      <xdr:spPr bwMode="auto">
        <a:xfrm>
          <a:off x="3057525" y="444500"/>
          <a:ext cx="752475" cy="365125"/>
        </a:xfrm>
        <a:prstGeom prst="rect">
          <a:avLst/>
        </a:prstGeom>
        <a:solidFill>
          <a:srgbClr val="FFFFFF"/>
        </a:solidFill>
        <a:ln w="9525">
          <a:solidFill>
            <a:srgbClr val="000000"/>
          </a:solidFill>
          <a:miter lim="800000"/>
          <a:headEnd/>
          <a:tailEnd/>
        </a:ln>
      </xdr:spPr>
    </xdr:sp>
    <xdr:clientData/>
  </xdr:twoCellAnchor>
</xdr:wsDr>
</file>

<file path=xl/drawings/drawing6.xml><?xml version="1.0" encoding="utf-8"?>
<xdr:wsDr xmlns:xdr="http://schemas.openxmlformats.org/drawingml/2006/spreadsheetDrawing" xmlns:a="http://schemas.openxmlformats.org/drawingml/2006/main">
  <xdr:twoCellAnchor>
    <xdr:from>
      <xdr:col>6</xdr:col>
      <xdr:colOff>76200</xdr:colOff>
      <xdr:row>83</xdr:row>
      <xdr:rowOff>161925</xdr:rowOff>
    </xdr:from>
    <xdr:to>
      <xdr:col>8</xdr:col>
      <xdr:colOff>9525</xdr:colOff>
      <xdr:row>85</xdr:row>
      <xdr:rowOff>114300</xdr:rowOff>
    </xdr:to>
    <xdr:grpSp>
      <xdr:nvGrpSpPr>
        <xdr:cNvPr id="2" name="Groupe 144">
          <a:extLst>
            <a:ext uri="{FF2B5EF4-FFF2-40B4-BE49-F238E27FC236}">
              <a16:creationId xmlns:a16="http://schemas.microsoft.com/office/drawing/2014/main" id="{00000000-0008-0000-2800-000002000000}"/>
            </a:ext>
          </a:extLst>
        </xdr:cNvPr>
        <xdr:cNvGrpSpPr>
          <a:grpSpLocks/>
        </xdr:cNvGrpSpPr>
      </xdr:nvGrpSpPr>
      <xdr:grpSpPr bwMode="auto">
        <a:xfrm>
          <a:off x="1914525" y="14487525"/>
          <a:ext cx="676275" cy="323850"/>
          <a:chOff x="4429125" y="27365325"/>
          <a:chExt cx="781050" cy="371475"/>
        </a:xfrm>
      </xdr:grpSpPr>
      <xdr:sp macro="" textlink="">
        <xdr:nvSpPr>
          <xdr:cNvPr id="3" name="Rectangle 145">
            <a:extLst>
              <a:ext uri="{FF2B5EF4-FFF2-40B4-BE49-F238E27FC236}">
                <a16:creationId xmlns:a16="http://schemas.microsoft.com/office/drawing/2014/main" id="{00000000-0008-0000-2800-0000030000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4" name="Rectangle 146">
            <a:extLst>
              <a:ext uri="{FF2B5EF4-FFF2-40B4-BE49-F238E27FC236}">
                <a16:creationId xmlns:a16="http://schemas.microsoft.com/office/drawing/2014/main" id="{00000000-0008-0000-2800-0000040000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6</xdr:col>
      <xdr:colOff>0</xdr:colOff>
      <xdr:row>70</xdr:row>
      <xdr:rowOff>38100</xdr:rowOff>
    </xdr:from>
    <xdr:to>
      <xdr:col>7</xdr:col>
      <xdr:colOff>285750</xdr:colOff>
      <xdr:row>71</xdr:row>
      <xdr:rowOff>142875</xdr:rowOff>
    </xdr:to>
    <xdr:grpSp>
      <xdr:nvGrpSpPr>
        <xdr:cNvPr id="5" name="Groupe 147">
          <a:extLst>
            <a:ext uri="{FF2B5EF4-FFF2-40B4-BE49-F238E27FC236}">
              <a16:creationId xmlns:a16="http://schemas.microsoft.com/office/drawing/2014/main" id="{00000000-0008-0000-2800-000005000000}"/>
            </a:ext>
          </a:extLst>
        </xdr:cNvPr>
        <xdr:cNvGrpSpPr>
          <a:grpSpLocks/>
        </xdr:cNvGrpSpPr>
      </xdr:nvGrpSpPr>
      <xdr:grpSpPr bwMode="auto">
        <a:xfrm>
          <a:off x="1838325" y="12134850"/>
          <a:ext cx="619125" cy="276225"/>
          <a:chOff x="4429125" y="27365325"/>
          <a:chExt cx="781050" cy="371475"/>
        </a:xfrm>
      </xdr:grpSpPr>
      <xdr:sp macro="" textlink="">
        <xdr:nvSpPr>
          <xdr:cNvPr id="6" name="Rectangle 148">
            <a:extLst>
              <a:ext uri="{FF2B5EF4-FFF2-40B4-BE49-F238E27FC236}">
                <a16:creationId xmlns:a16="http://schemas.microsoft.com/office/drawing/2014/main" id="{00000000-0008-0000-2800-0000060000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7" name="Rectangle 149">
            <a:extLst>
              <a:ext uri="{FF2B5EF4-FFF2-40B4-BE49-F238E27FC236}">
                <a16:creationId xmlns:a16="http://schemas.microsoft.com/office/drawing/2014/main" id="{00000000-0008-0000-2800-0000070000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xdr:col>
      <xdr:colOff>9525</xdr:colOff>
      <xdr:row>62</xdr:row>
      <xdr:rowOff>47625</xdr:rowOff>
    </xdr:from>
    <xdr:to>
      <xdr:col>8</xdr:col>
      <xdr:colOff>171450</xdr:colOff>
      <xdr:row>64</xdr:row>
      <xdr:rowOff>85725</xdr:rowOff>
    </xdr:to>
    <xdr:grpSp>
      <xdr:nvGrpSpPr>
        <xdr:cNvPr id="8" name="Groupe 150">
          <a:extLst>
            <a:ext uri="{FF2B5EF4-FFF2-40B4-BE49-F238E27FC236}">
              <a16:creationId xmlns:a16="http://schemas.microsoft.com/office/drawing/2014/main" id="{00000000-0008-0000-2800-000008000000}"/>
            </a:ext>
          </a:extLst>
        </xdr:cNvPr>
        <xdr:cNvGrpSpPr>
          <a:grpSpLocks/>
        </xdr:cNvGrpSpPr>
      </xdr:nvGrpSpPr>
      <xdr:grpSpPr bwMode="auto">
        <a:xfrm>
          <a:off x="371475" y="10772775"/>
          <a:ext cx="2381250" cy="381000"/>
          <a:chOff x="5295900" y="29260657"/>
          <a:chExt cx="2447926" cy="285893"/>
        </a:xfrm>
      </xdr:grpSpPr>
      <xdr:grpSp>
        <xdr:nvGrpSpPr>
          <xdr:cNvPr id="9" name="Groupe 24">
            <a:extLst>
              <a:ext uri="{FF2B5EF4-FFF2-40B4-BE49-F238E27FC236}">
                <a16:creationId xmlns:a16="http://schemas.microsoft.com/office/drawing/2014/main" id="{00000000-0008-0000-2800-000009000000}"/>
              </a:ext>
            </a:extLst>
          </xdr:cNvPr>
          <xdr:cNvGrpSpPr>
            <a:grpSpLocks/>
          </xdr:cNvGrpSpPr>
        </xdr:nvGrpSpPr>
        <xdr:grpSpPr bwMode="auto">
          <a:xfrm>
            <a:off x="6124574" y="29260800"/>
            <a:ext cx="790576" cy="285750"/>
            <a:chOff x="7439024" y="28575000"/>
            <a:chExt cx="790576" cy="285750"/>
          </a:xfrm>
        </xdr:grpSpPr>
        <xdr:sp macro="" textlink="">
          <xdr:nvSpPr>
            <xdr:cNvPr id="16" name="Rectangle 158">
              <a:extLst>
                <a:ext uri="{FF2B5EF4-FFF2-40B4-BE49-F238E27FC236}">
                  <a16:creationId xmlns:a16="http://schemas.microsoft.com/office/drawing/2014/main" id="{00000000-0008-0000-2800-000010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17" name="Rectangle 159">
              <a:extLst>
                <a:ext uri="{FF2B5EF4-FFF2-40B4-BE49-F238E27FC236}">
                  <a16:creationId xmlns:a16="http://schemas.microsoft.com/office/drawing/2014/main" id="{00000000-0008-0000-2800-000011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10" name="Groupe 25">
            <a:extLst>
              <a:ext uri="{FF2B5EF4-FFF2-40B4-BE49-F238E27FC236}">
                <a16:creationId xmlns:a16="http://schemas.microsoft.com/office/drawing/2014/main" id="{00000000-0008-0000-2800-00000A000000}"/>
              </a:ext>
            </a:extLst>
          </xdr:cNvPr>
          <xdr:cNvGrpSpPr>
            <a:grpSpLocks/>
          </xdr:cNvGrpSpPr>
        </xdr:nvGrpSpPr>
        <xdr:grpSpPr bwMode="auto">
          <a:xfrm>
            <a:off x="5295900" y="29260657"/>
            <a:ext cx="790576" cy="285893"/>
            <a:chOff x="7439024" y="28574857"/>
            <a:chExt cx="790576" cy="285893"/>
          </a:xfrm>
        </xdr:grpSpPr>
        <xdr:sp macro="" textlink="">
          <xdr:nvSpPr>
            <xdr:cNvPr id="14" name="Rectangle 156">
              <a:extLst>
                <a:ext uri="{FF2B5EF4-FFF2-40B4-BE49-F238E27FC236}">
                  <a16:creationId xmlns:a16="http://schemas.microsoft.com/office/drawing/2014/main" id="{00000000-0008-0000-2800-00000E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15" name="Rectangle 157">
              <a:extLst>
                <a:ext uri="{FF2B5EF4-FFF2-40B4-BE49-F238E27FC236}">
                  <a16:creationId xmlns:a16="http://schemas.microsoft.com/office/drawing/2014/main" id="{00000000-0008-0000-2800-00000F000000}"/>
                </a:ext>
              </a:extLst>
            </xdr:cNvPr>
            <xdr:cNvSpPr>
              <a:spLocks noChangeArrowheads="1"/>
            </xdr:cNvSpPr>
          </xdr:nvSpPr>
          <xdr:spPr bwMode="auto">
            <a:xfrm>
              <a:off x="7858125" y="28574857"/>
              <a:ext cx="371475" cy="285749"/>
            </a:xfrm>
            <a:prstGeom prst="rect">
              <a:avLst/>
            </a:prstGeom>
            <a:solidFill>
              <a:srgbClr val="FFFFFF"/>
            </a:solidFill>
            <a:ln w="9525" algn="ctr">
              <a:solidFill>
                <a:srgbClr val="000000"/>
              </a:solidFill>
              <a:round/>
              <a:headEnd/>
              <a:tailEnd/>
            </a:ln>
          </xdr:spPr>
        </xdr:sp>
      </xdr:grpSp>
      <xdr:grpSp>
        <xdr:nvGrpSpPr>
          <xdr:cNvPr id="11" name="Groupe 28">
            <a:extLst>
              <a:ext uri="{FF2B5EF4-FFF2-40B4-BE49-F238E27FC236}">
                <a16:creationId xmlns:a16="http://schemas.microsoft.com/office/drawing/2014/main" id="{00000000-0008-0000-2800-00000B000000}"/>
              </a:ext>
            </a:extLst>
          </xdr:cNvPr>
          <xdr:cNvGrpSpPr>
            <a:grpSpLocks/>
          </xdr:cNvGrpSpPr>
        </xdr:nvGrpSpPr>
        <xdr:grpSpPr bwMode="auto">
          <a:xfrm>
            <a:off x="6953250" y="29260800"/>
            <a:ext cx="790576" cy="285750"/>
            <a:chOff x="7439024" y="28575000"/>
            <a:chExt cx="790576" cy="285750"/>
          </a:xfrm>
        </xdr:grpSpPr>
        <xdr:sp macro="" textlink="">
          <xdr:nvSpPr>
            <xdr:cNvPr id="12" name="Rectangle 154">
              <a:extLst>
                <a:ext uri="{FF2B5EF4-FFF2-40B4-BE49-F238E27FC236}">
                  <a16:creationId xmlns:a16="http://schemas.microsoft.com/office/drawing/2014/main" id="{00000000-0008-0000-2800-00000C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13" name="Rectangle 155">
              <a:extLst>
                <a:ext uri="{FF2B5EF4-FFF2-40B4-BE49-F238E27FC236}">
                  <a16:creationId xmlns:a16="http://schemas.microsoft.com/office/drawing/2014/main" id="{00000000-0008-0000-2800-00000D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25</xdr:col>
      <xdr:colOff>57150</xdr:colOff>
      <xdr:row>6</xdr:row>
      <xdr:rowOff>0</xdr:rowOff>
    </xdr:from>
    <xdr:to>
      <xdr:col>26</xdr:col>
      <xdr:colOff>57150</xdr:colOff>
      <xdr:row>6</xdr:row>
      <xdr:rowOff>152400</xdr:rowOff>
    </xdr:to>
    <xdr:sp macro="" textlink="">
      <xdr:nvSpPr>
        <xdr:cNvPr id="18" name="Rectangle 161">
          <a:extLst>
            <a:ext uri="{FF2B5EF4-FFF2-40B4-BE49-F238E27FC236}">
              <a16:creationId xmlns:a16="http://schemas.microsoft.com/office/drawing/2014/main" id="{00000000-0008-0000-2800-000012000000}"/>
            </a:ext>
          </a:extLst>
        </xdr:cNvPr>
        <xdr:cNvSpPr>
          <a:spLocks noChangeArrowheads="1"/>
        </xdr:cNvSpPr>
      </xdr:nvSpPr>
      <xdr:spPr bwMode="auto">
        <a:xfrm>
          <a:off x="8448675" y="1047750"/>
          <a:ext cx="323850" cy="152400"/>
        </a:xfrm>
        <a:prstGeom prst="rect">
          <a:avLst/>
        </a:prstGeom>
        <a:solidFill>
          <a:srgbClr val="FFFFFF"/>
        </a:solidFill>
        <a:ln w="9525" algn="ctr">
          <a:solidFill>
            <a:srgbClr val="000000"/>
          </a:solidFill>
          <a:round/>
          <a:headEnd/>
          <a:tailEnd/>
        </a:ln>
      </xdr:spPr>
    </xdr:sp>
    <xdr:clientData/>
  </xdr:twoCellAnchor>
  <xdr:twoCellAnchor>
    <xdr:from>
      <xdr:col>25</xdr:col>
      <xdr:colOff>0</xdr:colOff>
      <xdr:row>42</xdr:row>
      <xdr:rowOff>0</xdr:rowOff>
    </xdr:from>
    <xdr:to>
      <xdr:col>26</xdr:col>
      <xdr:colOff>19050</xdr:colOff>
      <xdr:row>44</xdr:row>
      <xdr:rowOff>57150</xdr:rowOff>
    </xdr:to>
    <xdr:sp macro="" textlink="">
      <xdr:nvSpPr>
        <xdr:cNvPr id="19" name="Rectangle 212">
          <a:extLst>
            <a:ext uri="{FF2B5EF4-FFF2-40B4-BE49-F238E27FC236}">
              <a16:creationId xmlns:a16="http://schemas.microsoft.com/office/drawing/2014/main" id="{00000000-0008-0000-2800-000013000000}"/>
            </a:ext>
          </a:extLst>
        </xdr:cNvPr>
        <xdr:cNvSpPr>
          <a:spLocks noChangeArrowheads="1"/>
        </xdr:cNvSpPr>
      </xdr:nvSpPr>
      <xdr:spPr bwMode="auto">
        <a:xfrm>
          <a:off x="8391525" y="7334250"/>
          <a:ext cx="342900" cy="400050"/>
        </a:xfrm>
        <a:prstGeom prst="rect">
          <a:avLst/>
        </a:prstGeom>
        <a:solidFill>
          <a:srgbClr val="FFFFFF"/>
        </a:solidFill>
        <a:ln w="9525" algn="ctr">
          <a:solidFill>
            <a:srgbClr val="000000"/>
          </a:solidFill>
          <a:round/>
          <a:headEnd/>
          <a:tailEnd/>
        </a:ln>
      </xdr:spPr>
    </xdr:sp>
    <xdr:clientData/>
  </xdr:twoCellAnchor>
  <xdr:twoCellAnchor>
    <xdr:from>
      <xdr:col>24</xdr:col>
      <xdr:colOff>0</xdr:colOff>
      <xdr:row>38</xdr:row>
      <xdr:rowOff>0</xdr:rowOff>
    </xdr:from>
    <xdr:to>
      <xdr:col>25</xdr:col>
      <xdr:colOff>57150</xdr:colOff>
      <xdr:row>39</xdr:row>
      <xdr:rowOff>123825</xdr:rowOff>
    </xdr:to>
    <xdr:sp macro="" textlink="">
      <xdr:nvSpPr>
        <xdr:cNvPr id="20" name="Rectangle 213">
          <a:extLst>
            <a:ext uri="{FF2B5EF4-FFF2-40B4-BE49-F238E27FC236}">
              <a16:creationId xmlns:a16="http://schemas.microsoft.com/office/drawing/2014/main" id="{00000000-0008-0000-2800-000014000000}"/>
            </a:ext>
          </a:extLst>
        </xdr:cNvPr>
        <xdr:cNvSpPr>
          <a:spLocks noChangeArrowheads="1"/>
        </xdr:cNvSpPr>
      </xdr:nvSpPr>
      <xdr:spPr bwMode="auto">
        <a:xfrm>
          <a:off x="8067675" y="6648450"/>
          <a:ext cx="381000" cy="295275"/>
        </a:xfrm>
        <a:prstGeom prst="rect">
          <a:avLst/>
        </a:prstGeom>
        <a:solidFill>
          <a:srgbClr val="FFFFFF"/>
        </a:solidFill>
        <a:ln w="9525" algn="ctr">
          <a:solidFill>
            <a:srgbClr val="000000"/>
          </a:solidFill>
          <a:round/>
          <a:headEnd/>
          <a:tailEnd/>
        </a:ln>
      </xdr:spPr>
    </xdr:sp>
    <xdr:clientData/>
  </xdr:twoCellAnchor>
  <xdr:twoCellAnchor>
    <xdr:from>
      <xdr:col>23</xdr:col>
      <xdr:colOff>304800</xdr:colOff>
      <xdr:row>34</xdr:row>
      <xdr:rowOff>38100</xdr:rowOff>
    </xdr:from>
    <xdr:to>
      <xdr:col>24</xdr:col>
      <xdr:colOff>285750</xdr:colOff>
      <xdr:row>36</xdr:row>
      <xdr:rowOff>95250</xdr:rowOff>
    </xdr:to>
    <xdr:sp macro="" textlink="">
      <xdr:nvSpPr>
        <xdr:cNvPr id="21" name="Rectangle 214">
          <a:extLst>
            <a:ext uri="{FF2B5EF4-FFF2-40B4-BE49-F238E27FC236}">
              <a16:creationId xmlns:a16="http://schemas.microsoft.com/office/drawing/2014/main" id="{00000000-0008-0000-2800-000015000000}"/>
            </a:ext>
          </a:extLst>
        </xdr:cNvPr>
        <xdr:cNvSpPr>
          <a:spLocks noChangeArrowheads="1"/>
        </xdr:cNvSpPr>
      </xdr:nvSpPr>
      <xdr:spPr bwMode="auto">
        <a:xfrm>
          <a:off x="7972425" y="5810250"/>
          <a:ext cx="381000" cy="390525"/>
        </a:xfrm>
        <a:prstGeom prst="rect">
          <a:avLst/>
        </a:prstGeom>
        <a:solidFill>
          <a:srgbClr val="FFFFFF"/>
        </a:solidFill>
        <a:ln w="9525" algn="ctr">
          <a:solidFill>
            <a:srgbClr val="000000"/>
          </a:solidFill>
          <a:round/>
          <a:headEnd/>
          <a:tailEnd/>
        </a:ln>
      </xdr:spPr>
    </xdr:sp>
    <xdr:clientData/>
  </xdr:twoCellAnchor>
  <xdr:twoCellAnchor>
    <xdr:from>
      <xdr:col>7</xdr:col>
      <xdr:colOff>276225</xdr:colOff>
      <xdr:row>8</xdr:row>
      <xdr:rowOff>38100</xdr:rowOff>
    </xdr:from>
    <xdr:to>
      <xdr:col>8</xdr:col>
      <xdr:colOff>276225</xdr:colOff>
      <xdr:row>10</xdr:row>
      <xdr:rowOff>104775</xdr:rowOff>
    </xdr:to>
    <xdr:sp macro="" textlink="">
      <xdr:nvSpPr>
        <xdr:cNvPr id="22" name="Rectangle 241">
          <a:extLst>
            <a:ext uri="{FF2B5EF4-FFF2-40B4-BE49-F238E27FC236}">
              <a16:creationId xmlns:a16="http://schemas.microsoft.com/office/drawing/2014/main" id="{00000000-0008-0000-2800-000016000000}"/>
            </a:ext>
          </a:extLst>
        </xdr:cNvPr>
        <xdr:cNvSpPr>
          <a:spLocks noChangeArrowheads="1"/>
        </xdr:cNvSpPr>
      </xdr:nvSpPr>
      <xdr:spPr bwMode="auto">
        <a:xfrm>
          <a:off x="2400300" y="1419225"/>
          <a:ext cx="409575" cy="409575"/>
        </a:xfrm>
        <a:prstGeom prst="rect">
          <a:avLst/>
        </a:prstGeom>
        <a:solidFill>
          <a:srgbClr val="FFFFFF"/>
        </a:solidFill>
        <a:ln w="9525" algn="ctr">
          <a:solidFill>
            <a:srgbClr val="000000"/>
          </a:solidFill>
          <a:round/>
          <a:headEnd/>
          <a:tailEnd/>
        </a:ln>
      </xdr:spPr>
    </xdr:sp>
    <xdr:clientData/>
  </xdr:twoCellAnchor>
  <xdr:twoCellAnchor>
    <xdr:from>
      <xdr:col>7</xdr:col>
      <xdr:colOff>374651</xdr:colOff>
      <xdr:row>24</xdr:row>
      <xdr:rowOff>36512</xdr:rowOff>
    </xdr:from>
    <xdr:to>
      <xdr:col>8</xdr:col>
      <xdr:colOff>384176</xdr:colOff>
      <xdr:row>25</xdr:row>
      <xdr:rowOff>169862</xdr:rowOff>
    </xdr:to>
    <xdr:sp macro="" textlink="">
      <xdr:nvSpPr>
        <xdr:cNvPr id="23" name="Rectangle 243">
          <a:extLst>
            <a:ext uri="{FF2B5EF4-FFF2-40B4-BE49-F238E27FC236}">
              <a16:creationId xmlns:a16="http://schemas.microsoft.com/office/drawing/2014/main" id="{00000000-0008-0000-2800-000017000000}"/>
            </a:ext>
            <a:ext uri="{147F2762-F138-4A5C-976F-8EAC2B608ADB}">
              <a16:predDERef xmlns:a16="http://schemas.microsoft.com/office/drawing/2014/main" pred="{F3108A91-C9BC-4057-ADC7-9CA31EC59575}"/>
            </a:ext>
          </a:extLst>
        </xdr:cNvPr>
        <xdr:cNvSpPr>
          <a:spLocks noChangeArrowheads="1"/>
        </xdr:cNvSpPr>
      </xdr:nvSpPr>
      <xdr:spPr bwMode="auto">
        <a:xfrm>
          <a:off x="2493964" y="4108450"/>
          <a:ext cx="422275" cy="307975"/>
        </a:xfrm>
        <a:prstGeom prst="rect">
          <a:avLst/>
        </a:prstGeom>
        <a:solidFill>
          <a:srgbClr val="FFFFFF"/>
        </a:solidFill>
        <a:ln w="9525" algn="ctr">
          <a:solidFill>
            <a:srgbClr val="000000"/>
          </a:solidFill>
          <a:round/>
          <a:headEnd/>
          <a:tailEnd/>
        </a:ln>
      </xdr:spPr>
    </xdr:sp>
    <xdr:clientData/>
  </xdr:twoCellAnchor>
  <xdr:twoCellAnchor>
    <xdr:from>
      <xdr:col>0</xdr:col>
      <xdr:colOff>101599</xdr:colOff>
      <xdr:row>38</xdr:row>
      <xdr:rowOff>93663</xdr:rowOff>
    </xdr:from>
    <xdr:to>
      <xdr:col>8</xdr:col>
      <xdr:colOff>206374</xdr:colOff>
      <xdr:row>40</xdr:row>
      <xdr:rowOff>65088</xdr:rowOff>
    </xdr:to>
    <xdr:grpSp>
      <xdr:nvGrpSpPr>
        <xdr:cNvPr id="24" name="Groupe 244">
          <a:extLst>
            <a:ext uri="{FF2B5EF4-FFF2-40B4-BE49-F238E27FC236}">
              <a16:creationId xmlns:a16="http://schemas.microsoft.com/office/drawing/2014/main" id="{00000000-0008-0000-2800-000018000000}"/>
            </a:ext>
          </a:extLst>
        </xdr:cNvPr>
        <xdr:cNvGrpSpPr>
          <a:grpSpLocks/>
        </xdr:cNvGrpSpPr>
      </xdr:nvGrpSpPr>
      <xdr:grpSpPr bwMode="auto">
        <a:xfrm>
          <a:off x="101599" y="6704013"/>
          <a:ext cx="2686050" cy="314325"/>
          <a:chOff x="7010400" y="9553575"/>
          <a:chExt cx="2886076" cy="285751"/>
        </a:xfrm>
      </xdr:grpSpPr>
      <xdr:grpSp>
        <xdr:nvGrpSpPr>
          <xdr:cNvPr id="25" name="Groupe 188">
            <a:extLst>
              <a:ext uri="{FF2B5EF4-FFF2-40B4-BE49-F238E27FC236}">
                <a16:creationId xmlns:a16="http://schemas.microsoft.com/office/drawing/2014/main" id="{00000000-0008-0000-2800-000019000000}"/>
              </a:ext>
            </a:extLst>
          </xdr:cNvPr>
          <xdr:cNvGrpSpPr>
            <a:grpSpLocks/>
          </xdr:cNvGrpSpPr>
        </xdr:nvGrpSpPr>
        <xdr:grpSpPr bwMode="auto">
          <a:xfrm>
            <a:off x="7448550" y="9553575"/>
            <a:ext cx="2447926" cy="285750"/>
            <a:chOff x="5295900" y="29260800"/>
            <a:chExt cx="2447926" cy="285750"/>
          </a:xfrm>
        </xdr:grpSpPr>
        <xdr:grpSp>
          <xdr:nvGrpSpPr>
            <xdr:cNvPr id="27" name="Groupe 24">
              <a:extLst>
                <a:ext uri="{FF2B5EF4-FFF2-40B4-BE49-F238E27FC236}">
                  <a16:creationId xmlns:a16="http://schemas.microsoft.com/office/drawing/2014/main" id="{00000000-0008-0000-2800-00001B000000}"/>
                </a:ext>
              </a:extLst>
            </xdr:cNvPr>
            <xdr:cNvGrpSpPr>
              <a:grpSpLocks/>
            </xdr:cNvGrpSpPr>
          </xdr:nvGrpSpPr>
          <xdr:grpSpPr bwMode="auto">
            <a:xfrm>
              <a:off x="6124574" y="29260800"/>
              <a:ext cx="790576" cy="285750"/>
              <a:chOff x="7439024" y="28575000"/>
              <a:chExt cx="790576" cy="285750"/>
            </a:xfrm>
          </xdr:grpSpPr>
          <xdr:sp macro="" textlink="">
            <xdr:nvSpPr>
              <xdr:cNvPr id="34" name="Rectangle 254">
                <a:extLst>
                  <a:ext uri="{FF2B5EF4-FFF2-40B4-BE49-F238E27FC236}">
                    <a16:creationId xmlns:a16="http://schemas.microsoft.com/office/drawing/2014/main" id="{00000000-0008-0000-2800-000022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5" name="Rectangle 255">
                <a:extLst>
                  <a:ext uri="{FF2B5EF4-FFF2-40B4-BE49-F238E27FC236}">
                    <a16:creationId xmlns:a16="http://schemas.microsoft.com/office/drawing/2014/main" id="{00000000-0008-0000-2800-000023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28" name="Groupe 25">
              <a:extLst>
                <a:ext uri="{FF2B5EF4-FFF2-40B4-BE49-F238E27FC236}">
                  <a16:creationId xmlns:a16="http://schemas.microsoft.com/office/drawing/2014/main" id="{00000000-0008-0000-2800-00001C000000}"/>
                </a:ext>
              </a:extLst>
            </xdr:cNvPr>
            <xdr:cNvGrpSpPr>
              <a:grpSpLocks/>
            </xdr:cNvGrpSpPr>
          </xdr:nvGrpSpPr>
          <xdr:grpSpPr bwMode="auto">
            <a:xfrm>
              <a:off x="5295900" y="29260800"/>
              <a:ext cx="790576" cy="285750"/>
              <a:chOff x="7439024" y="28575000"/>
              <a:chExt cx="790576" cy="285750"/>
            </a:xfrm>
          </xdr:grpSpPr>
          <xdr:sp macro="" textlink="">
            <xdr:nvSpPr>
              <xdr:cNvPr id="32" name="Rectangle 252">
                <a:extLst>
                  <a:ext uri="{FF2B5EF4-FFF2-40B4-BE49-F238E27FC236}">
                    <a16:creationId xmlns:a16="http://schemas.microsoft.com/office/drawing/2014/main" id="{00000000-0008-0000-2800-000020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3" name="Rectangle 253">
                <a:extLst>
                  <a:ext uri="{FF2B5EF4-FFF2-40B4-BE49-F238E27FC236}">
                    <a16:creationId xmlns:a16="http://schemas.microsoft.com/office/drawing/2014/main" id="{00000000-0008-0000-2800-000021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29" name="Groupe 28">
              <a:extLst>
                <a:ext uri="{FF2B5EF4-FFF2-40B4-BE49-F238E27FC236}">
                  <a16:creationId xmlns:a16="http://schemas.microsoft.com/office/drawing/2014/main" id="{00000000-0008-0000-2800-00001D000000}"/>
                </a:ext>
              </a:extLst>
            </xdr:cNvPr>
            <xdr:cNvGrpSpPr>
              <a:grpSpLocks/>
            </xdr:cNvGrpSpPr>
          </xdr:nvGrpSpPr>
          <xdr:grpSpPr bwMode="auto">
            <a:xfrm>
              <a:off x="6953250" y="29260800"/>
              <a:ext cx="790576" cy="285750"/>
              <a:chOff x="7439024" y="28575000"/>
              <a:chExt cx="790576" cy="285750"/>
            </a:xfrm>
          </xdr:grpSpPr>
          <xdr:sp macro="" textlink="">
            <xdr:nvSpPr>
              <xdr:cNvPr id="30" name="Rectangle 250">
                <a:extLst>
                  <a:ext uri="{FF2B5EF4-FFF2-40B4-BE49-F238E27FC236}">
                    <a16:creationId xmlns:a16="http://schemas.microsoft.com/office/drawing/2014/main" id="{00000000-0008-0000-2800-00001E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1" name="Rectangle 251">
                <a:extLst>
                  <a:ext uri="{FF2B5EF4-FFF2-40B4-BE49-F238E27FC236}">
                    <a16:creationId xmlns:a16="http://schemas.microsoft.com/office/drawing/2014/main" id="{00000000-0008-0000-2800-00001F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26" name="Rectangle 246">
            <a:extLst>
              <a:ext uri="{FF2B5EF4-FFF2-40B4-BE49-F238E27FC236}">
                <a16:creationId xmlns:a16="http://schemas.microsoft.com/office/drawing/2014/main" id="{00000000-0008-0000-2800-00001A000000}"/>
              </a:ext>
            </a:extLst>
          </xdr:cNvPr>
          <xdr:cNvSpPr>
            <a:spLocks noChangeArrowheads="1"/>
          </xdr:cNvSpPr>
        </xdr:nvSpPr>
        <xdr:spPr bwMode="auto">
          <a:xfrm>
            <a:off x="7010400" y="9553576"/>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6</xdr:col>
      <xdr:colOff>247650</xdr:colOff>
      <xdr:row>42</xdr:row>
      <xdr:rowOff>57150</xdr:rowOff>
    </xdr:from>
    <xdr:to>
      <xdr:col>7</xdr:col>
      <xdr:colOff>314325</xdr:colOff>
      <xdr:row>44</xdr:row>
      <xdr:rowOff>104775</xdr:rowOff>
    </xdr:to>
    <xdr:sp macro="" textlink="">
      <xdr:nvSpPr>
        <xdr:cNvPr id="36" name="Rectangle 256">
          <a:extLst>
            <a:ext uri="{FF2B5EF4-FFF2-40B4-BE49-F238E27FC236}">
              <a16:creationId xmlns:a16="http://schemas.microsoft.com/office/drawing/2014/main" id="{00000000-0008-0000-2800-000024000000}"/>
            </a:ext>
          </a:extLst>
        </xdr:cNvPr>
        <xdr:cNvSpPr>
          <a:spLocks noChangeArrowheads="1"/>
        </xdr:cNvSpPr>
      </xdr:nvSpPr>
      <xdr:spPr bwMode="auto">
        <a:xfrm>
          <a:off x="2038350" y="7391400"/>
          <a:ext cx="400050" cy="390525"/>
        </a:xfrm>
        <a:prstGeom prst="rect">
          <a:avLst/>
        </a:prstGeom>
        <a:solidFill>
          <a:srgbClr val="FFFFFF"/>
        </a:solidFill>
        <a:ln w="9525" algn="ctr">
          <a:solidFill>
            <a:srgbClr val="000000"/>
          </a:solidFill>
          <a:round/>
          <a:headEnd/>
          <a:tailEnd/>
        </a:ln>
      </xdr:spPr>
    </xdr:sp>
    <xdr:clientData/>
  </xdr:twoCellAnchor>
  <xdr:twoCellAnchor>
    <xdr:from>
      <xdr:col>13</xdr:col>
      <xdr:colOff>152400</xdr:colOff>
      <xdr:row>0</xdr:row>
      <xdr:rowOff>123825</xdr:rowOff>
    </xdr:from>
    <xdr:to>
      <xdr:col>14</xdr:col>
      <xdr:colOff>377825</xdr:colOff>
      <xdr:row>2</xdr:row>
      <xdr:rowOff>142875</xdr:rowOff>
    </xdr:to>
    <xdr:grpSp>
      <xdr:nvGrpSpPr>
        <xdr:cNvPr id="37" name="Groupe 3">
          <a:extLst>
            <a:ext uri="{FF2B5EF4-FFF2-40B4-BE49-F238E27FC236}">
              <a16:creationId xmlns:a16="http://schemas.microsoft.com/office/drawing/2014/main" id="{00000000-0008-0000-2800-000025000000}"/>
            </a:ext>
          </a:extLst>
        </xdr:cNvPr>
        <xdr:cNvGrpSpPr>
          <a:grpSpLocks/>
        </xdr:cNvGrpSpPr>
      </xdr:nvGrpSpPr>
      <xdr:grpSpPr bwMode="auto">
        <a:xfrm>
          <a:off x="4362450" y="123825"/>
          <a:ext cx="587375" cy="381000"/>
          <a:chOff x="7343775" y="238125"/>
          <a:chExt cx="600075" cy="314325"/>
        </a:xfrm>
      </xdr:grpSpPr>
      <xdr:sp macro="" textlink="">
        <xdr:nvSpPr>
          <xdr:cNvPr id="38" name="Rectangle 1">
            <a:extLst>
              <a:ext uri="{FF2B5EF4-FFF2-40B4-BE49-F238E27FC236}">
                <a16:creationId xmlns:a16="http://schemas.microsoft.com/office/drawing/2014/main" id="{00000000-0008-0000-2800-000026000000}"/>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39" name="Rectangle 2">
            <a:extLst>
              <a:ext uri="{FF2B5EF4-FFF2-40B4-BE49-F238E27FC236}">
                <a16:creationId xmlns:a16="http://schemas.microsoft.com/office/drawing/2014/main" id="{00000000-0008-0000-2800-000027000000}"/>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9</xdr:col>
      <xdr:colOff>247650</xdr:colOff>
      <xdr:row>13</xdr:row>
      <xdr:rowOff>9525</xdr:rowOff>
    </xdr:from>
    <xdr:to>
      <xdr:col>17</xdr:col>
      <xdr:colOff>314325</xdr:colOff>
      <xdr:row>14</xdr:row>
      <xdr:rowOff>152400</xdr:rowOff>
    </xdr:to>
    <xdr:grpSp>
      <xdr:nvGrpSpPr>
        <xdr:cNvPr id="40" name="Groupe 200">
          <a:extLst>
            <a:ext uri="{FF2B5EF4-FFF2-40B4-BE49-F238E27FC236}">
              <a16:creationId xmlns:a16="http://schemas.microsoft.com/office/drawing/2014/main" id="{00000000-0008-0000-2800-000028000000}"/>
            </a:ext>
          </a:extLst>
        </xdr:cNvPr>
        <xdr:cNvGrpSpPr>
          <a:grpSpLocks/>
        </xdr:cNvGrpSpPr>
      </xdr:nvGrpSpPr>
      <xdr:grpSpPr bwMode="auto">
        <a:xfrm>
          <a:off x="3276600" y="2228850"/>
          <a:ext cx="2771775" cy="304800"/>
          <a:chOff x="7048500" y="9553575"/>
          <a:chExt cx="2847976" cy="295276"/>
        </a:xfrm>
      </xdr:grpSpPr>
      <xdr:grpSp>
        <xdr:nvGrpSpPr>
          <xdr:cNvPr id="41" name="Groupe 188">
            <a:extLst>
              <a:ext uri="{FF2B5EF4-FFF2-40B4-BE49-F238E27FC236}">
                <a16:creationId xmlns:a16="http://schemas.microsoft.com/office/drawing/2014/main" id="{00000000-0008-0000-2800-000029000000}"/>
              </a:ext>
            </a:extLst>
          </xdr:cNvPr>
          <xdr:cNvGrpSpPr>
            <a:grpSpLocks/>
          </xdr:cNvGrpSpPr>
        </xdr:nvGrpSpPr>
        <xdr:grpSpPr bwMode="auto">
          <a:xfrm>
            <a:off x="7448550" y="9553575"/>
            <a:ext cx="2447926" cy="285750"/>
            <a:chOff x="5295900" y="29260800"/>
            <a:chExt cx="2447926" cy="285750"/>
          </a:xfrm>
        </xdr:grpSpPr>
        <xdr:grpSp>
          <xdr:nvGrpSpPr>
            <xdr:cNvPr id="43" name="Groupe 24">
              <a:extLst>
                <a:ext uri="{FF2B5EF4-FFF2-40B4-BE49-F238E27FC236}">
                  <a16:creationId xmlns:a16="http://schemas.microsoft.com/office/drawing/2014/main" id="{00000000-0008-0000-2800-00002B000000}"/>
                </a:ext>
              </a:extLst>
            </xdr:cNvPr>
            <xdr:cNvGrpSpPr>
              <a:grpSpLocks/>
            </xdr:cNvGrpSpPr>
          </xdr:nvGrpSpPr>
          <xdr:grpSpPr bwMode="auto">
            <a:xfrm>
              <a:off x="6124574" y="29260800"/>
              <a:ext cx="790576" cy="285750"/>
              <a:chOff x="7439024" y="28575000"/>
              <a:chExt cx="790576" cy="285750"/>
            </a:xfrm>
          </xdr:grpSpPr>
          <xdr:sp macro="" textlink="">
            <xdr:nvSpPr>
              <xdr:cNvPr id="50" name="Rectangle 210">
                <a:extLst>
                  <a:ext uri="{FF2B5EF4-FFF2-40B4-BE49-F238E27FC236}">
                    <a16:creationId xmlns:a16="http://schemas.microsoft.com/office/drawing/2014/main" id="{00000000-0008-0000-2800-000032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51" name="Rectangle 211">
                <a:extLst>
                  <a:ext uri="{FF2B5EF4-FFF2-40B4-BE49-F238E27FC236}">
                    <a16:creationId xmlns:a16="http://schemas.microsoft.com/office/drawing/2014/main" id="{00000000-0008-0000-2800-000033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4" name="Groupe 25">
              <a:extLst>
                <a:ext uri="{FF2B5EF4-FFF2-40B4-BE49-F238E27FC236}">
                  <a16:creationId xmlns:a16="http://schemas.microsoft.com/office/drawing/2014/main" id="{00000000-0008-0000-2800-00002C000000}"/>
                </a:ext>
              </a:extLst>
            </xdr:cNvPr>
            <xdr:cNvGrpSpPr>
              <a:grpSpLocks/>
            </xdr:cNvGrpSpPr>
          </xdr:nvGrpSpPr>
          <xdr:grpSpPr bwMode="auto">
            <a:xfrm>
              <a:off x="5295900" y="29260800"/>
              <a:ext cx="790576" cy="285750"/>
              <a:chOff x="7439024" y="28575000"/>
              <a:chExt cx="790576" cy="285750"/>
            </a:xfrm>
          </xdr:grpSpPr>
          <xdr:sp macro="" textlink="">
            <xdr:nvSpPr>
              <xdr:cNvPr id="48" name="Rectangle 208">
                <a:extLst>
                  <a:ext uri="{FF2B5EF4-FFF2-40B4-BE49-F238E27FC236}">
                    <a16:creationId xmlns:a16="http://schemas.microsoft.com/office/drawing/2014/main" id="{00000000-0008-0000-2800-000030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9" name="Rectangle 209">
                <a:extLst>
                  <a:ext uri="{FF2B5EF4-FFF2-40B4-BE49-F238E27FC236}">
                    <a16:creationId xmlns:a16="http://schemas.microsoft.com/office/drawing/2014/main" id="{00000000-0008-0000-2800-000031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5" name="Groupe 28">
              <a:extLst>
                <a:ext uri="{FF2B5EF4-FFF2-40B4-BE49-F238E27FC236}">
                  <a16:creationId xmlns:a16="http://schemas.microsoft.com/office/drawing/2014/main" id="{00000000-0008-0000-2800-00002D000000}"/>
                </a:ext>
              </a:extLst>
            </xdr:cNvPr>
            <xdr:cNvGrpSpPr>
              <a:grpSpLocks/>
            </xdr:cNvGrpSpPr>
          </xdr:nvGrpSpPr>
          <xdr:grpSpPr bwMode="auto">
            <a:xfrm>
              <a:off x="6953250" y="29260800"/>
              <a:ext cx="790576" cy="285750"/>
              <a:chOff x="7439024" y="28575000"/>
              <a:chExt cx="790576" cy="285750"/>
            </a:xfrm>
          </xdr:grpSpPr>
          <xdr:sp macro="" textlink="">
            <xdr:nvSpPr>
              <xdr:cNvPr id="46" name="Rectangle 206">
                <a:extLst>
                  <a:ext uri="{FF2B5EF4-FFF2-40B4-BE49-F238E27FC236}">
                    <a16:creationId xmlns:a16="http://schemas.microsoft.com/office/drawing/2014/main" id="{00000000-0008-0000-2800-00002E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7" name="Rectangle 207">
                <a:extLst>
                  <a:ext uri="{FF2B5EF4-FFF2-40B4-BE49-F238E27FC236}">
                    <a16:creationId xmlns:a16="http://schemas.microsoft.com/office/drawing/2014/main" id="{00000000-0008-0000-2800-00002F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42" name="Rectangle 202">
            <a:extLst>
              <a:ext uri="{FF2B5EF4-FFF2-40B4-BE49-F238E27FC236}">
                <a16:creationId xmlns:a16="http://schemas.microsoft.com/office/drawing/2014/main" id="{00000000-0008-0000-2800-00002A000000}"/>
              </a:ext>
            </a:extLst>
          </xdr:cNvPr>
          <xdr:cNvSpPr>
            <a:spLocks noChangeArrowheads="1"/>
          </xdr:cNvSpPr>
        </xdr:nvSpPr>
        <xdr:spPr bwMode="auto">
          <a:xfrm>
            <a:off x="7048500" y="9563101"/>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18</xdr:col>
      <xdr:colOff>66675</xdr:colOff>
      <xdr:row>8</xdr:row>
      <xdr:rowOff>142875</xdr:rowOff>
    </xdr:from>
    <xdr:to>
      <xdr:col>26</xdr:col>
      <xdr:colOff>276225</xdr:colOff>
      <xdr:row>10</xdr:row>
      <xdr:rowOff>152400</xdr:rowOff>
    </xdr:to>
    <xdr:grpSp>
      <xdr:nvGrpSpPr>
        <xdr:cNvPr id="52" name="Groupe 217">
          <a:extLst>
            <a:ext uri="{FF2B5EF4-FFF2-40B4-BE49-F238E27FC236}">
              <a16:creationId xmlns:a16="http://schemas.microsoft.com/office/drawing/2014/main" id="{00000000-0008-0000-2800-000034000000}"/>
            </a:ext>
          </a:extLst>
        </xdr:cNvPr>
        <xdr:cNvGrpSpPr>
          <a:grpSpLocks/>
        </xdr:cNvGrpSpPr>
      </xdr:nvGrpSpPr>
      <xdr:grpSpPr bwMode="auto">
        <a:xfrm>
          <a:off x="6229350" y="1524000"/>
          <a:ext cx="3924300" cy="352425"/>
          <a:chOff x="7000875" y="9553575"/>
          <a:chExt cx="2895601" cy="285751"/>
        </a:xfrm>
      </xdr:grpSpPr>
      <xdr:grpSp>
        <xdr:nvGrpSpPr>
          <xdr:cNvPr id="53" name="Groupe 188">
            <a:extLst>
              <a:ext uri="{FF2B5EF4-FFF2-40B4-BE49-F238E27FC236}">
                <a16:creationId xmlns:a16="http://schemas.microsoft.com/office/drawing/2014/main" id="{00000000-0008-0000-2800-000035000000}"/>
              </a:ext>
            </a:extLst>
          </xdr:cNvPr>
          <xdr:cNvGrpSpPr>
            <a:grpSpLocks/>
          </xdr:cNvGrpSpPr>
        </xdr:nvGrpSpPr>
        <xdr:grpSpPr bwMode="auto">
          <a:xfrm>
            <a:off x="7448550" y="9553575"/>
            <a:ext cx="2447926" cy="285750"/>
            <a:chOff x="5295900" y="29260800"/>
            <a:chExt cx="2447926" cy="285750"/>
          </a:xfrm>
        </xdr:grpSpPr>
        <xdr:grpSp>
          <xdr:nvGrpSpPr>
            <xdr:cNvPr id="55" name="Groupe 24">
              <a:extLst>
                <a:ext uri="{FF2B5EF4-FFF2-40B4-BE49-F238E27FC236}">
                  <a16:creationId xmlns:a16="http://schemas.microsoft.com/office/drawing/2014/main" id="{00000000-0008-0000-2800-000037000000}"/>
                </a:ext>
              </a:extLst>
            </xdr:cNvPr>
            <xdr:cNvGrpSpPr>
              <a:grpSpLocks/>
            </xdr:cNvGrpSpPr>
          </xdr:nvGrpSpPr>
          <xdr:grpSpPr bwMode="auto">
            <a:xfrm>
              <a:off x="6124574" y="29260800"/>
              <a:ext cx="790576" cy="285750"/>
              <a:chOff x="7439024" y="28575000"/>
              <a:chExt cx="790576" cy="285750"/>
            </a:xfrm>
          </xdr:grpSpPr>
          <xdr:sp macro="" textlink="">
            <xdr:nvSpPr>
              <xdr:cNvPr id="62" name="Rectangle 227">
                <a:extLst>
                  <a:ext uri="{FF2B5EF4-FFF2-40B4-BE49-F238E27FC236}">
                    <a16:creationId xmlns:a16="http://schemas.microsoft.com/office/drawing/2014/main" id="{00000000-0008-0000-2800-00003E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63" name="Rectangle 228">
                <a:extLst>
                  <a:ext uri="{FF2B5EF4-FFF2-40B4-BE49-F238E27FC236}">
                    <a16:creationId xmlns:a16="http://schemas.microsoft.com/office/drawing/2014/main" id="{00000000-0008-0000-2800-00003F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56" name="Groupe 25">
              <a:extLst>
                <a:ext uri="{FF2B5EF4-FFF2-40B4-BE49-F238E27FC236}">
                  <a16:creationId xmlns:a16="http://schemas.microsoft.com/office/drawing/2014/main" id="{00000000-0008-0000-2800-000038000000}"/>
                </a:ext>
              </a:extLst>
            </xdr:cNvPr>
            <xdr:cNvGrpSpPr>
              <a:grpSpLocks/>
            </xdr:cNvGrpSpPr>
          </xdr:nvGrpSpPr>
          <xdr:grpSpPr bwMode="auto">
            <a:xfrm>
              <a:off x="5295900" y="29260800"/>
              <a:ext cx="790576" cy="285750"/>
              <a:chOff x="7439024" y="28575000"/>
              <a:chExt cx="790576" cy="285750"/>
            </a:xfrm>
          </xdr:grpSpPr>
          <xdr:sp macro="" textlink="">
            <xdr:nvSpPr>
              <xdr:cNvPr id="60" name="Rectangle 225">
                <a:extLst>
                  <a:ext uri="{FF2B5EF4-FFF2-40B4-BE49-F238E27FC236}">
                    <a16:creationId xmlns:a16="http://schemas.microsoft.com/office/drawing/2014/main" id="{00000000-0008-0000-2800-00003C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61" name="Rectangle 226">
                <a:extLst>
                  <a:ext uri="{FF2B5EF4-FFF2-40B4-BE49-F238E27FC236}">
                    <a16:creationId xmlns:a16="http://schemas.microsoft.com/office/drawing/2014/main" id="{00000000-0008-0000-2800-00003D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57" name="Groupe 28">
              <a:extLst>
                <a:ext uri="{FF2B5EF4-FFF2-40B4-BE49-F238E27FC236}">
                  <a16:creationId xmlns:a16="http://schemas.microsoft.com/office/drawing/2014/main" id="{00000000-0008-0000-2800-000039000000}"/>
                </a:ext>
              </a:extLst>
            </xdr:cNvPr>
            <xdr:cNvGrpSpPr>
              <a:grpSpLocks/>
            </xdr:cNvGrpSpPr>
          </xdr:nvGrpSpPr>
          <xdr:grpSpPr bwMode="auto">
            <a:xfrm>
              <a:off x="6953250" y="29260800"/>
              <a:ext cx="790576" cy="285750"/>
              <a:chOff x="7439024" y="28575000"/>
              <a:chExt cx="790576" cy="285750"/>
            </a:xfrm>
          </xdr:grpSpPr>
          <xdr:sp macro="" textlink="">
            <xdr:nvSpPr>
              <xdr:cNvPr id="58" name="Rectangle 223">
                <a:extLst>
                  <a:ext uri="{FF2B5EF4-FFF2-40B4-BE49-F238E27FC236}">
                    <a16:creationId xmlns:a16="http://schemas.microsoft.com/office/drawing/2014/main" id="{00000000-0008-0000-2800-00003A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59" name="Rectangle 224">
                <a:extLst>
                  <a:ext uri="{FF2B5EF4-FFF2-40B4-BE49-F238E27FC236}">
                    <a16:creationId xmlns:a16="http://schemas.microsoft.com/office/drawing/2014/main" id="{00000000-0008-0000-2800-00003B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54" name="Rectangle 219">
            <a:extLst>
              <a:ext uri="{FF2B5EF4-FFF2-40B4-BE49-F238E27FC236}">
                <a16:creationId xmlns:a16="http://schemas.microsoft.com/office/drawing/2014/main" id="{00000000-0008-0000-2800-000036000000}"/>
              </a:ext>
            </a:extLst>
          </xdr:cNvPr>
          <xdr:cNvSpPr>
            <a:spLocks noChangeArrowheads="1"/>
          </xdr:cNvSpPr>
        </xdr:nvSpPr>
        <xdr:spPr bwMode="auto">
          <a:xfrm>
            <a:off x="7000875" y="9553576"/>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24</xdr:col>
      <xdr:colOff>257175</xdr:colOff>
      <xdr:row>18</xdr:row>
      <xdr:rowOff>38100</xdr:rowOff>
    </xdr:from>
    <xdr:to>
      <xdr:col>26</xdr:col>
      <xdr:colOff>123825</xdr:colOff>
      <xdr:row>19</xdr:row>
      <xdr:rowOff>123825</xdr:rowOff>
    </xdr:to>
    <xdr:sp macro="" textlink="">
      <xdr:nvSpPr>
        <xdr:cNvPr id="64" name="Rectangle 216">
          <a:extLst>
            <a:ext uri="{FF2B5EF4-FFF2-40B4-BE49-F238E27FC236}">
              <a16:creationId xmlns:a16="http://schemas.microsoft.com/office/drawing/2014/main" id="{00000000-0008-0000-2800-000040000000}"/>
            </a:ext>
          </a:extLst>
        </xdr:cNvPr>
        <xdr:cNvSpPr>
          <a:spLocks noChangeArrowheads="1"/>
        </xdr:cNvSpPr>
      </xdr:nvSpPr>
      <xdr:spPr bwMode="auto">
        <a:xfrm>
          <a:off x="8324850" y="3076575"/>
          <a:ext cx="514350" cy="257175"/>
        </a:xfrm>
        <a:prstGeom prst="rect">
          <a:avLst/>
        </a:prstGeom>
        <a:solidFill>
          <a:srgbClr val="FFFFFF"/>
        </a:solidFill>
        <a:ln w="9525" algn="ctr">
          <a:solidFill>
            <a:srgbClr val="000000"/>
          </a:solidFill>
          <a:round/>
          <a:headEnd/>
          <a:tailEnd/>
        </a:ln>
      </xdr:spPr>
    </xdr:sp>
    <xdr:clientData/>
  </xdr:twoCellAnchor>
  <xdr:twoCellAnchor>
    <xdr:from>
      <xdr:col>22</xdr:col>
      <xdr:colOff>371475</xdr:colOff>
      <xdr:row>28</xdr:row>
      <xdr:rowOff>38100</xdr:rowOff>
    </xdr:from>
    <xdr:to>
      <xdr:col>23</xdr:col>
      <xdr:colOff>303212</xdr:colOff>
      <xdr:row>30</xdr:row>
      <xdr:rowOff>85725</xdr:rowOff>
    </xdr:to>
    <xdr:sp macro="" textlink="">
      <xdr:nvSpPr>
        <xdr:cNvPr id="65" name="Rectangle 215">
          <a:extLst>
            <a:ext uri="{FF2B5EF4-FFF2-40B4-BE49-F238E27FC236}">
              <a16:creationId xmlns:a16="http://schemas.microsoft.com/office/drawing/2014/main" id="{00000000-0008-0000-2800-000041000000}"/>
            </a:ext>
          </a:extLst>
        </xdr:cNvPr>
        <xdr:cNvSpPr>
          <a:spLocks noChangeArrowheads="1"/>
        </xdr:cNvSpPr>
      </xdr:nvSpPr>
      <xdr:spPr bwMode="auto">
        <a:xfrm>
          <a:off x="7554913" y="4808538"/>
          <a:ext cx="407987" cy="396875"/>
        </a:xfrm>
        <a:prstGeom prst="rect">
          <a:avLst/>
        </a:prstGeom>
        <a:solidFill>
          <a:srgbClr val="FFFFFF"/>
        </a:solidFill>
        <a:ln w="9525" algn="ctr">
          <a:solidFill>
            <a:srgbClr val="000000"/>
          </a:solidFill>
          <a:round/>
          <a:headEnd/>
          <a:tailEnd/>
        </a:ln>
      </xdr:spPr>
    </xdr:sp>
    <xdr:clientData/>
  </xdr:twoCellAnchor>
  <xdr:twoCellAnchor>
    <xdr:from>
      <xdr:col>0</xdr:col>
      <xdr:colOff>257175</xdr:colOff>
      <xdr:row>47</xdr:row>
      <xdr:rowOff>76200</xdr:rowOff>
    </xdr:from>
    <xdr:to>
      <xdr:col>8</xdr:col>
      <xdr:colOff>142875</xdr:colOff>
      <xdr:row>49</xdr:row>
      <xdr:rowOff>114300</xdr:rowOff>
    </xdr:to>
    <xdr:grpSp>
      <xdr:nvGrpSpPr>
        <xdr:cNvPr id="66" name="Groupe 178">
          <a:extLst>
            <a:ext uri="{FF2B5EF4-FFF2-40B4-BE49-F238E27FC236}">
              <a16:creationId xmlns:a16="http://schemas.microsoft.com/office/drawing/2014/main" id="{00000000-0008-0000-2800-000042000000}"/>
            </a:ext>
          </a:extLst>
        </xdr:cNvPr>
        <xdr:cNvGrpSpPr>
          <a:grpSpLocks/>
        </xdr:cNvGrpSpPr>
      </xdr:nvGrpSpPr>
      <xdr:grpSpPr bwMode="auto">
        <a:xfrm>
          <a:off x="257175" y="8229600"/>
          <a:ext cx="2466975" cy="381000"/>
          <a:chOff x="5295900" y="29260800"/>
          <a:chExt cx="2447926" cy="285750"/>
        </a:xfrm>
      </xdr:grpSpPr>
      <xdr:grpSp>
        <xdr:nvGrpSpPr>
          <xdr:cNvPr id="67" name="Groupe 24">
            <a:extLst>
              <a:ext uri="{FF2B5EF4-FFF2-40B4-BE49-F238E27FC236}">
                <a16:creationId xmlns:a16="http://schemas.microsoft.com/office/drawing/2014/main" id="{00000000-0008-0000-2800-000043000000}"/>
              </a:ext>
            </a:extLst>
          </xdr:cNvPr>
          <xdr:cNvGrpSpPr>
            <a:grpSpLocks/>
          </xdr:cNvGrpSpPr>
        </xdr:nvGrpSpPr>
        <xdr:grpSpPr bwMode="auto">
          <a:xfrm>
            <a:off x="6124574" y="29260800"/>
            <a:ext cx="790576" cy="285750"/>
            <a:chOff x="7439024" y="28575000"/>
            <a:chExt cx="790576" cy="285750"/>
          </a:xfrm>
        </xdr:grpSpPr>
        <xdr:sp macro="" textlink="">
          <xdr:nvSpPr>
            <xdr:cNvPr id="74" name="Rectangle 186">
              <a:extLst>
                <a:ext uri="{FF2B5EF4-FFF2-40B4-BE49-F238E27FC236}">
                  <a16:creationId xmlns:a16="http://schemas.microsoft.com/office/drawing/2014/main" id="{00000000-0008-0000-2800-00004A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75" name="Rectangle 187">
              <a:extLst>
                <a:ext uri="{FF2B5EF4-FFF2-40B4-BE49-F238E27FC236}">
                  <a16:creationId xmlns:a16="http://schemas.microsoft.com/office/drawing/2014/main" id="{00000000-0008-0000-2800-00004B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68" name="Groupe 25">
            <a:extLst>
              <a:ext uri="{FF2B5EF4-FFF2-40B4-BE49-F238E27FC236}">
                <a16:creationId xmlns:a16="http://schemas.microsoft.com/office/drawing/2014/main" id="{00000000-0008-0000-2800-000044000000}"/>
              </a:ext>
            </a:extLst>
          </xdr:cNvPr>
          <xdr:cNvGrpSpPr>
            <a:grpSpLocks/>
          </xdr:cNvGrpSpPr>
        </xdr:nvGrpSpPr>
        <xdr:grpSpPr bwMode="auto">
          <a:xfrm>
            <a:off x="5295900" y="29260800"/>
            <a:ext cx="790576" cy="285750"/>
            <a:chOff x="7439024" y="28575000"/>
            <a:chExt cx="790576" cy="285750"/>
          </a:xfrm>
        </xdr:grpSpPr>
        <xdr:sp macro="" textlink="">
          <xdr:nvSpPr>
            <xdr:cNvPr id="72" name="Rectangle 184">
              <a:extLst>
                <a:ext uri="{FF2B5EF4-FFF2-40B4-BE49-F238E27FC236}">
                  <a16:creationId xmlns:a16="http://schemas.microsoft.com/office/drawing/2014/main" id="{00000000-0008-0000-2800-000048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73" name="Rectangle 185">
              <a:extLst>
                <a:ext uri="{FF2B5EF4-FFF2-40B4-BE49-F238E27FC236}">
                  <a16:creationId xmlns:a16="http://schemas.microsoft.com/office/drawing/2014/main" id="{00000000-0008-0000-2800-000049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69" name="Groupe 28">
            <a:extLst>
              <a:ext uri="{FF2B5EF4-FFF2-40B4-BE49-F238E27FC236}">
                <a16:creationId xmlns:a16="http://schemas.microsoft.com/office/drawing/2014/main" id="{00000000-0008-0000-2800-000045000000}"/>
              </a:ext>
            </a:extLst>
          </xdr:cNvPr>
          <xdr:cNvGrpSpPr>
            <a:grpSpLocks/>
          </xdr:cNvGrpSpPr>
        </xdr:nvGrpSpPr>
        <xdr:grpSpPr bwMode="auto">
          <a:xfrm>
            <a:off x="6953250" y="29260800"/>
            <a:ext cx="790576" cy="285750"/>
            <a:chOff x="7439024" y="28575000"/>
            <a:chExt cx="790576" cy="285750"/>
          </a:xfrm>
        </xdr:grpSpPr>
        <xdr:sp macro="" textlink="">
          <xdr:nvSpPr>
            <xdr:cNvPr id="70" name="Rectangle 182">
              <a:extLst>
                <a:ext uri="{FF2B5EF4-FFF2-40B4-BE49-F238E27FC236}">
                  <a16:creationId xmlns:a16="http://schemas.microsoft.com/office/drawing/2014/main" id="{00000000-0008-0000-2800-000046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71" name="Rectangle 183">
              <a:extLst>
                <a:ext uri="{FF2B5EF4-FFF2-40B4-BE49-F238E27FC236}">
                  <a16:creationId xmlns:a16="http://schemas.microsoft.com/office/drawing/2014/main" id="{00000000-0008-0000-2800-000047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5</xdr:col>
      <xdr:colOff>114300</xdr:colOff>
      <xdr:row>57</xdr:row>
      <xdr:rowOff>123825</xdr:rowOff>
    </xdr:from>
    <xdr:to>
      <xdr:col>6</xdr:col>
      <xdr:colOff>114300</xdr:colOff>
      <xdr:row>59</xdr:row>
      <xdr:rowOff>114300</xdr:rowOff>
    </xdr:to>
    <xdr:sp macro="" textlink="">
      <xdr:nvSpPr>
        <xdr:cNvPr id="76" name="Rectangle 160">
          <a:extLst>
            <a:ext uri="{FF2B5EF4-FFF2-40B4-BE49-F238E27FC236}">
              <a16:creationId xmlns:a16="http://schemas.microsoft.com/office/drawing/2014/main" id="{00000000-0008-0000-2800-00004C000000}"/>
            </a:ext>
          </a:extLst>
        </xdr:cNvPr>
        <xdr:cNvSpPr>
          <a:spLocks noChangeArrowheads="1"/>
        </xdr:cNvSpPr>
      </xdr:nvSpPr>
      <xdr:spPr bwMode="auto">
        <a:xfrm>
          <a:off x="1562100" y="10029825"/>
          <a:ext cx="342900" cy="333375"/>
        </a:xfrm>
        <a:prstGeom prst="rect">
          <a:avLst/>
        </a:prstGeom>
        <a:solidFill>
          <a:srgbClr val="FFFFFF"/>
        </a:solidFill>
        <a:ln w="9525" algn="ctr">
          <a:solidFill>
            <a:srgbClr val="000000"/>
          </a:solidFill>
          <a:round/>
          <a:headEnd/>
          <a:tailEnd/>
        </a:ln>
      </xdr:spPr>
    </xdr:sp>
    <xdr:clientData/>
  </xdr:twoCellAnchor>
  <xdr:twoCellAnchor>
    <xdr:from>
      <xdr:col>15</xdr:col>
      <xdr:colOff>38100</xdr:colOff>
      <xdr:row>61</xdr:row>
      <xdr:rowOff>19050</xdr:rowOff>
    </xdr:from>
    <xdr:to>
      <xdr:col>17</xdr:col>
      <xdr:colOff>352425</xdr:colOff>
      <xdr:row>62</xdr:row>
      <xdr:rowOff>114300</xdr:rowOff>
    </xdr:to>
    <xdr:grpSp>
      <xdr:nvGrpSpPr>
        <xdr:cNvPr id="77" name="Groupe 14">
          <a:extLst>
            <a:ext uri="{FF2B5EF4-FFF2-40B4-BE49-F238E27FC236}">
              <a16:creationId xmlns:a16="http://schemas.microsoft.com/office/drawing/2014/main" id="{00000000-0008-0000-2800-00004D000000}"/>
            </a:ext>
          </a:extLst>
        </xdr:cNvPr>
        <xdr:cNvGrpSpPr>
          <a:grpSpLocks/>
        </xdr:cNvGrpSpPr>
      </xdr:nvGrpSpPr>
      <xdr:grpSpPr bwMode="auto">
        <a:xfrm>
          <a:off x="5010150" y="10572750"/>
          <a:ext cx="1076325" cy="266700"/>
          <a:chOff x="7867651" y="18945225"/>
          <a:chExt cx="1104898" cy="257176"/>
        </a:xfrm>
      </xdr:grpSpPr>
      <xdr:grpSp>
        <xdr:nvGrpSpPr>
          <xdr:cNvPr id="78" name="Groupe 5">
            <a:extLst>
              <a:ext uri="{FF2B5EF4-FFF2-40B4-BE49-F238E27FC236}">
                <a16:creationId xmlns:a16="http://schemas.microsoft.com/office/drawing/2014/main" id="{00000000-0008-0000-2800-00004E000000}"/>
              </a:ext>
            </a:extLst>
          </xdr:cNvPr>
          <xdr:cNvGrpSpPr>
            <a:grpSpLocks/>
          </xdr:cNvGrpSpPr>
        </xdr:nvGrpSpPr>
        <xdr:grpSpPr bwMode="auto">
          <a:xfrm>
            <a:off x="7867651" y="18945225"/>
            <a:ext cx="476249" cy="247651"/>
            <a:chOff x="7867651" y="18945225"/>
            <a:chExt cx="476249" cy="247651"/>
          </a:xfrm>
        </xdr:grpSpPr>
        <xdr:sp macro="" textlink="">
          <xdr:nvSpPr>
            <xdr:cNvPr id="83" name="Rectangle 1">
              <a:extLst>
                <a:ext uri="{FF2B5EF4-FFF2-40B4-BE49-F238E27FC236}">
                  <a16:creationId xmlns:a16="http://schemas.microsoft.com/office/drawing/2014/main" id="{00000000-0008-0000-2800-000053000000}"/>
                </a:ext>
              </a:extLst>
            </xdr:cNvPr>
            <xdr:cNvSpPr>
              <a:spLocks noChangeArrowheads="1"/>
            </xdr:cNvSpPr>
          </xdr:nvSpPr>
          <xdr:spPr bwMode="auto">
            <a:xfrm>
              <a:off x="7867651" y="18945226"/>
              <a:ext cx="228600" cy="247650"/>
            </a:xfrm>
            <a:prstGeom prst="rect">
              <a:avLst/>
            </a:prstGeom>
            <a:solidFill>
              <a:srgbClr val="FFFFFF"/>
            </a:solidFill>
            <a:ln w="9525">
              <a:solidFill>
                <a:srgbClr val="000000"/>
              </a:solidFill>
              <a:miter lim="800000"/>
              <a:headEnd/>
              <a:tailEnd/>
            </a:ln>
          </xdr:spPr>
        </xdr:sp>
        <xdr:sp macro="" textlink="">
          <xdr:nvSpPr>
            <xdr:cNvPr id="84" name="Rectangle 2">
              <a:extLst>
                <a:ext uri="{FF2B5EF4-FFF2-40B4-BE49-F238E27FC236}">
                  <a16:creationId xmlns:a16="http://schemas.microsoft.com/office/drawing/2014/main" id="{00000000-0008-0000-2800-000054000000}"/>
                </a:ext>
              </a:extLst>
            </xdr:cNvPr>
            <xdr:cNvSpPr>
              <a:spLocks noChangeArrowheads="1"/>
            </xdr:cNvSpPr>
          </xdr:nvSpPr>
          <xdr:spPr bwMode="auto">
            <a:xfrm>
              <a:off x="8115300" y="18945225"/>
              <a:ext cx="228600" cy="247650"/>
            </a:xfrm>
            <a:prstGeom prst="rect">
              <a:avLst/>
            </a:prstGeom>
            <a:solidFill>
              <a:srgbClr val="FFFFFF"/>
            </a:solidFill>
            <a:ln w="9525">
              <a:solidFill>
                <a:srgbClr val="000000"/>
              </a:solidFill>
              <a:miter lim="800000"/>
              <a:headEnd/>
              <a:tailEnd/>
            </a:ln>
          </xdr:spPr>
        </xdr:sp>
      </xdr:grpSp>
      <xdr:cxnSp macro="">
        <xdr:nvCxnSpPr>
          <xdr:cNvPr id="79" name="Connecteur droit 7">
            <a:extLst>
              <a:ext uri="{FF2B5EF4-FFF2-40B4-BE49-F238E27FC236}">
                <a16:creationId xmlns:a16="http://schemas.microsoft.com/office/drawing/2014/main" id="{00000000-0008-0000-2800-00004F000000}"/>
              </a:ext>
            </a:extLst>
          </xdr:cNvPr>
          <xdr:cNvCxnSpPr>
            <a:cxnSpLocks noChangeShapeType="1"/>
          </xdr:cNvCxnSpPr>
        </xdr:nvCxnSpPr>
        <xdr:spPr bwMode="auto">
          <a:xfrm rot="5400000" flipH="1" flipV="1">
            <a:off x="8296275" y="19050003"/>
            <a:ext cx="238128" cy="47622"/>
          </a:xfrm>
          <a:prstGeom prst="line">
            <a:avLst/>
          </a:prstGeom>
          <a:noFill/>
          <a:ln w="9525" algn="ctr">
            <a:solidFill>
              <a:srgbClr val="000000"/>
            </a:solidFill>
            <a:round/>
            <a:headEnd/>
            <a:tailEnd/>
          </a:ln>
          <a:extLst>
            <a:ext uri="{909E8E84-426E-40DD-AFC4-6F175D3DCCD1}">
              <a14:hiddenFill xmlns:a14="http://schemas.microsoft.com/office/drawing/2010/main">
                <a:noFill/>
              </a14:hiddenFill>
            </a:ext>
          </a:extLst>
        </xdr:spPr>
      </xdr:cxnSp>
      <xdr:grpSp>
        <xdr:nvGrpSpPr>
          <xdr:cNvPr id="80" name="Groupe 11">
            <a:extLst>
              <a:ext uri="{FF2B5EF4-FFF2-40B4-BE49-F238E27FC236}">
                <a16:creationId xmlns:a16="http://schemas.microsoft.com/office/drawing/2014/main" id="{00000000-0008-0000-2800-000050000000}"/>
              </a:ext>
            </a:extLst>
          </xdr:cNvPr>
          <xdr:cNvGrpSpPr>
            <a:grpSpLocks/>
          </xdr:cNvGrpSpPr>
        </xdr:nvGrpSpPr>
        <xdr:grpSpPr bwMode="auto">
          <a:xfrm>
            <a:off x="8496300" y="18954750"/>
            <a:ext cx="476249" cy="247651"/>
            <a:chOff x="7867651" y="18945225"/>
            <a:chExt cx="476249" cy="247651"/>
          </a:xfrm>
        </xdr:grpSpPr>
        <xdr:sp macro="" textlink="">
          <xdr:nvSpPr>
            <xdr:cNvPr id="81" name="Rectangle 12">
              <a:extLst>
                <a:ext uri="{FF2B5EF4-FFF2-40B4-BE49-F238E27FC236}">
                  <a16:creationId xmlns:a16="http://schemas.microsoft.com/office/drawing/2014/main" id="{00000000-0008-0000-2800-000051000000}"/>
                </a:ext>
              </a:extLst>
            </xdr:cNvPr>
            <xdr:cNvSpPr>
              <a:spLocks noChangeArrowheads="1"/>
            </xdr:cNvSpPr>
          </xdr:nvSpPr>
          <xdr:spPr bwMode="auto">
            <a:xfrm>
              <a:off x="7867651" y="18945226"/>
              <a:ext cx="228600" cy="247650"/>
            </a:xfrm>
            <a:prstGeom prst="rect">
              <a:avLst/>
            </a:prstGeom>
            <a:solidFill>
              <a:srgbClr val="FFFFFF"/>
            </a:solidFill>
            <a:ln w="9525">
              <a:solidFill>
                <a:srgbClr val="000000"/>
              </a:solidFill>
              <a:miter lim="800000"/>
              <a:headEnd/>
              <a:tailEnd/>
            </a:ln>
          </xdr:spPr>
        </xdr:sp>
        <xdr:sp macro="" textlink="">
          <xdr:nvSpPr>
            <xdr:cNvPr id="82" name="Rectangle 13">
              <a:extLst>
                <a:ext uri="{FF2B5EF4-FFF2-40B4-BE49-F238E27FC236}">
                  <a16:creationId xmlns:a16="http://schemas.microsoft.com/office/drawing/2014/main" id="{00000000-0008-0000-2800-000052000000}"/>
                </a:ext>
              </a:extLst>
            </xdr:cNvPr>
            <xdr:cNvSpPr>
              <a:spLocks noChangeArrowheads="1"/>
            </xdr:cNvSpPr>
          </xdr:nvSpPr>
          <xdr:spPr bwMode="auto">
            <a:xfrm>
              <a:off x="8115300" y="18945225"/>
              <a:ext cx="228600" cy="247650"/>
            </a:xfrm>
            <a:prstGeom prst="rect">
              <a:avLst/>
            </a:prstGeom>
            <a:solidFill>
              <a:srgbClr val="FFFFFF"/>
            </a:solidFill>
            <a:ln w="9525">
              <a:solidFill>
                <a:srgbClr val="000000"/>
              </a:solidFill>
              <a:miter lim="800000"/>
              <a:headEnd/>
              <a:tailEnd/>
            </a:ln>
          </xdr:spPr>
        </xdr:sp>
      </xdr:grpSp>
    </xdr:grpSp>
    <xdr:clientData/>
  </xdr:twoCellAnchor>
  <xdr:twoCellAnchor>
    <xdr:from>
      <xdr:col>13</xdr:col>
      <xdr:colOff>314325</xdr:colOff>
      <xdr:row>52</xdr:row>
      <xdr:rowOff>0</xdr:rowOff>
    </xdr:from>
    <xdr:to>
      <xdr:col>17</xdr:col>
      <xdr:colOff>400050</xdr:colOff>
      <xdr:row>53</xdr:row>
      <xdr:rowOff>123825</xdr:rowOff>
    </xdr:to>
    <xdr:grpSp>
      <xdr:nvGrpSpPr>
        <xdr:cNvPr id="85" name="Groupe 134">
          <a:extLst>
            <a:ext uri="{FF2B5EF4-FFF2-40B4-BE49-F238E27FC236}">
              <a16:creationId xmlns:a16="http://schemas.microsoft.com/office/drawing/2014/main" id="{00000000-0008-0000-2800-000055000000}"/>
            </a:ext>
          </a:extLst>
        </xdr:cNvPr>
        <xdr:cNvGrpSpPr>
          <a:grpSpLocks/>
        </xdr:cNvGrpSpPr>
      </xdr:nvGrpSpPr>
      <xdr:grpSpPr bwMode="auto">
        <a:xfrm>
          <a:off x="4524375" y="9010650"/>
          <a:ext cx="1609725" cy="295275"/>
          <a:chOff x="7724775" y="26555700"/>
          <a:chExt cx="1590675" cy="371475"/>
        </a:xfrm>
      </xdr:grpSpPr>
      <xdr:grpSp>
        <xdr:nvGrpSpPr>
          <xdr:cNvPr id="86" name="Groupe 120">
            <a:extLst>
              <a:ext uri="{FF2B5EF4-FFF2-40B4-BE49-F238E27FC236}">
                <a16:creationId xmlns:a16="http://schemas.microsoft.com/office/drawing/2014/main" id="{00000000-0008-0000-2800-000056000000}"/>
              </a:ext>
            </a:extLst>
          </xdr:cNvPr>
          <xdr:cNvGrpSpPr>
            <a:grpSpLocks/>
          </xdr:cNvGrpSpPr>
        </xdr:nvGrpSpPr>
        <xdr:grpSpPr bwMode="auto">
          <a:xfrm>
            <a:off x="8534400" y="26555700"/>
            <a:ext cx="781050" cy="371475"/>
            <a:chOff x="4429125" y="27365325"/>
            <a:chExt cx="781050" cy="371475"/>
          </a:xfrm>
        </xdr:grpSpPr>
        <xdr:sp macro="" textlink="">
          <xdr:nvSpPr>
            <xdr:cNvPr id="90" name="Rectangle 139">
              <a:extLst>
                <a:ext uri="{FF2B5EF4-FFF2-40B4-BE49-F238E27FC236}">
                  <a16:creationId xmlns:a16="http://schemas.microsoft.com/office/drawing/2014/main" id="{00000000-0008-0000-2800-00005A0000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91" name="Rectangle 140">
              <a:extLst>
                <a:ext uri="{FF2B5EF4-FFF2-40B4-BE49-F238E27FC236}">
                  <a16:creationId xmlns:a16="http://schemas.microsoft.com/office/drawing/2014/main" id="{00000000-0008-0000-2800-00005B0000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nvGrpSpPr>
          <xdr:cNvPr id="87" name="Groupe 123">
            <a:extLst>
              <a:ext uri="{FF2B5EF4-FFF2-40B4-BE49-F238E27FC236}">
                <a16:creationId xmlns:a16="http://schemas.microsoft.com/office/drawing/2014/main" id="{00000000-0008-0000-2800-000057000000}"/>
              </a:ext>
            </a:extLst>
          </xdr:cNvPr>
          <xdr:cNvGrpSpPr>
            <a:grpSpLocks/>
          </xdr:cNvGrpSpPr>
        </xdr:nvGrpSpPr>
        <xdr:grpSpPr bwMode="auto">
          <a:xfrm>
            <a:off x="7724775" y="26555700"/>
            <a:ext cx="781050" cy="371475"/>
            <a:chOff x="4429125" y="27365325"/>
            <a:chExt cx="781050" cy="371475"/>
          </a:xfrm>
        </xdr:grpSpPr>
        <xdr:sp macro="" textlink="">
          <xdr:nvSpPr>
            <xdr:cNvPr id="88" name="Rectangle 137">
              <a:extLst>
                <a:ext uri="{FF2B5EF4-FFF2-40B4-BE49-F238E27FC236}">
                  <a16:creationId xmlns:a16="http://schemas.microsoft.com/office/drawing/2014/main" id="{00000000-0008-0000-2800-0000580000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89" name="Rectangle 138">
              <a:extLst>
                <a:ext uri="{FF2B5EF4-FFF2-40B4-BE49-F238E27FC236}">
                  <a16:creationId xmlns:a16="http://schemas.microsoft.com/office/drawing/2014/main" id="{00000000-0008-0000-2800-0000590000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clientData/>
  </xdr:twoCellAnchor>
  <xdr:twoCellAnchor>
    <xdr:from>
      <xdr:col>15</xdr:col>
      <xdr:colOff>104775</xdr:colOff>
      <xdr:row>57</xdr:row>
      <xdr:rowOff>123825</xdr:rowOff>
    </xdr:from>
    <xdr:to>
      <xdr:col>17</xdr:col>
      <xdr:colOff>76200</xdr:colOff>
      <xdr:row>59</xdr:row>
      <xdr:rowOff>76200</xdr:rowOff>
    </xdr:to>
    <xdr:grpSp>
      <xdr:nvGrpSpPr>
        <xdr:cNvPr id="92" name="Groupe 141">
          <a:extLst>
            <a:ext uri="{FF2B5EF4-FFF2-40B4-BE49-F238E27FC236}">
              <a16:creationId xmlns:a16="http://schemas.microsoft.com/office/drawing/2014/main" id="{00000000-0008-0000-2800-00005C000000}"/>
            </a:ext>
          </a:extLst>
        </xdr:cNvPr>
        <xdr:cNvGrpSpPr>
          <a:grpSpLocks/>
        </xdr:cNvGrpSpPr>
      </xdr:nvGrpSpPr>
      <xdr:grpSpPr bwMode="auto">
        <a:xfrm>
          <a:off x="5076825" y="9991725"/>
          <a:ext cx="733425" cy="295275"/>
          <a:chOff x="4429125" y="27365325"/>
          <a:chExt cx="781050" cy="371475"/>
        </a:xfrm>
      </xdr:grpSpPr>
      <xdr:sp macro="" textlink="">
        <xdr:nvSpPr>
          <xdr:cNvPr id="93" name="Rectangle 142">
            <a:extLst>
              <a:ext uri="{FF2B5EF4-FFF2-40B4-BE49-F238E27FC236}">
                <a16:creationId xmlns:a16="http://schemas.microsoft.com/office/drawing/2014/main" id="{00000000-0008-0000-2800-00005D0000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94" name="Rectangle 143">
            <a:extLst>
              <a:ext uri="{FF2B5EF4-FFF2-40B4-BE49-F238E27FC236}">
                <a16:creationId xmlns:a16="http://schemas.microsoft.com/office/drawing/2014/main" id="{00000000-0008-0000-2800-00005E0000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14</xdr:col>
      <xdr:colOff>0</xdr:colOff>
      <xdr:row>65</xdr:row>
      <xdr:rowOff>114300</xdr:rowOff>
    </xdr:from>
    <xdr:to>
      <xdr:col>17</xdr:col>
      <xdr:colOff>352425</xdr:colOff>
      <xdr:row>67</xdr:row>
      <xdr:rowOff>123825</xdr:rowOff>
    </xdr:to>
    <xdr:grpSp>
      <xdr:nvGrpSpPr>
        <xdr:cNvPr id="95" name="Groupe 127">
          <a:extLst>
            <a:ext uri="{FF2B5EF4-FFF2-40B4-BE49-F238E27FC236}">
              <a16:creationId xmlns:a16="http://schemas.microsoft.com/office/drawing/2014/main" id="{00000000-0008-0000-2800-00005F000000}"/>
            </a:ext>
          </a:extLst>
        </xdr:cNvPr>
        <xdr:cNvGrpSpPr>
          <a:grpSpLocks/>
        </xdr:cNvGrpSpPr>
      </xdr:nvGrpSpPr>
      <xdr:grpSpPr bwMode="auto">
        <a:xfrm>
          <a:off x="4572000" y="11353800"/>
          <a:ext cx="1514475" cy="352425"/>
          <a:chOff x="7724775" y="26555700"/>
          <a:chExt cx="1590675" cy="371475"/>
        </a:xfrm>
      </xdr:grpSpPr>
      <xdr:grpSp>
        <xdr:nvGrpSpPr>
          <xdr:cNvPr id="96" name="Groupe 120">
            <a:extLst>
              <a:ext uri="{FF2B5EF4-FFF2-40B4-BE49-F238E27FC236}">
                <a16:creationId xmlns:a16="http://schemas.microsoft.com/office/drawing/2014/main" id="{00000000-0008-0000-2800-000060000000}"/>
              </a:ext>
            </a:extLst>
          </xdr:cNvPr>
          <xdr:cNvGrpSpPr>
            <a:grpSpLocks/>
          </xdr:cNvGrpSpPr>
        </xdr:nvGrpSpPr>
        <xdr:grpSpPr bwMode="auto">
          <a:xfrm>
            <a:off x="8534400" y="26555700"/>
            <a:ext cx="781050" cy="371475"/>
            <a:chOff x="4429125" y="27365325"/>
            <a:chExt cx="781050" cy="371475"/>
          </a:xfrm>
        </xdr:grpSpPr>
        <xdr:sp macro="" textlink="">
          <xdr:nvSpPr>
            <xdr:cNvPr id="100" name="Rectangle 132">
              <a:extLst>
                <a:ext uri="{FF2B5EF4-FFF2-40B4-BE49-F238E27FC236}">
                  <a16:creationId xmlns:a16="http://schemas.microsoft.com/office/drawing/2014/main" id="{00000000-0008-0000-2800-0000640000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101" name="Rectangle 133">
              <a:extLst>
                <a:ext uri="{FF2B5EF4-FFF2-40B4-BE49-F238E27FC236}">
                  <a16:creationId xmlns:a16="http://schemas.microsoft.com/office/drawing/2014/main" id="{00000000-0008-0000-2800-0000650000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nvGrpSpPr>
          <xdr:cNvPr id="97" name="Groupe 123">
            <a:extLst>
              <a:ext uri="{FF2B5EF4-FFF2-40B4-BE49-F238E27FC236}">
                <a16:creationId xmlns:a16="http://schemas.microsoft.com/office/drawing/2014/main" id="{00000000-0008-0000-2800-000061000000}"/>
              </a:ext>
            </a:extLst>
          </xdr:cNvPr>
          <xdr:cNvGrpSpPr>
            <a:grpSpLocks/>
          </xdr:cNvGrpSpPr>
        </xdr:nvGrpSpPr>
        <xdr:grpSpPr bwMode="auto">
          <a:xfrm>
            <a:off x="7724775" y="26555700"/>
            <a:ext cx="781050" cy="371475"/>
            <a:chOff x="4429125" y="27365325"/>
            <a:chExt cx="781050" cy="371475"/>
          </a:xfrm>
        </xdr:grpSpPr>
        <xdr:sp macro="" textlink="">
          <xdr:nvSpPr>
            <xdr:cNvPr id="98" name="Rectangle 130">
              <a:extLst>
                <a:ext uri="{FF2B5EF4-FFF2-40B4-BE49-F238E27FC236}">
                  <a16:creationId xmlns:a16="http://schemas.microsoft.com/office/drawing/2014/main" id="{00000000-0008-0000-2800-0000620000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99" name="Rectangle 131">
              <a:extLst>
                <a:ext uri="{FF2B5EF4-FFF2-40B4-BE49-F238E27FC236}">
                  <a16:creationId xmlns:a16="http://schemas.microsoft.com/office/drawing/2014/main" id="{00000000-0008-0000-2800-0000630000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grpSp>
    <xdr:clientData/>
  </xdr:twoCellAnchor>
  <xdr:twoCellAnchor>
    <xdr:from>
      <xdr:col>14</xdr:col>
      <xdr:colOff>355600</xdr:colOff>
      <xdr:row>69</xdr:row>
      <xdr:rowOff>163513</xdr:rowOff>
    </xdr:from>
    <xdr:to>
      <xdr:col>16</xdr:col>
      <xdr:colOff>317500</xdr:colOff>
      <xdr:row>71</xdr:row>
      <xdr:rowOff>112713</xdr:rowOff>
    </xdr:to>
    <xdr:grpSp>
      <xdr:nvGrpSpPr>
        <xdr:cNvPr id="102" name="Groupe 162">
          <a:extLst>
            <a:ext uri="{FF2B5EF4-FFF2-40B4-BE49-F238E27FC236}">
              <a16:creationId xmlns:a16="http://schemas.microsoft.com/office/drawing/2014/main" id="{00000000-0008-0000-2800-000066000000}"/>
            </a:ext>
            <a:ext uri="{147F2762-F138-4A5C-976F-8EAC2B608ADB}">
              <a16:predDERef xmlns:a16="http://schemas.microsoft.com/office/drawing/2014/main" pred="{47093401-6BA6-4E74-A315-7EB832B123D2}"/>
            </a:ext>
          </a:extLst>
        </xdr:cNvPr>
        <xdr:cNvGrpSpPr>
          <a:grpSpLocks/>
        </xdr:cNvGrpSpPr>
      </xdr:nvGrpSpPr>
      <xdr:grpSpPr bwMode="auto">
        <a:xfrm>
          <a:off x="4927600" y="12088813"/>
          <a:ext cx="762000" cy="292100"/>
          <a:chOff x="4429125" y="27365325"/>
          <a:chExt cx="781050" cy="371475"/>
        </a:xfrm>
      </xdr:grpSpPr>
      <xdr:sp macro="" textlink="">
        <xdr:nvSpPr>
          <xdr:cNvPr id="103" name="Rectangle 163">
            <a:extLst>
              <a:ext uri="{FF2B5EF4-FFF2-40B4-BE49-F238E27FC236}">
                <a16:creationId xmlns:a16="http://schemas.microsoft.com/office/drawing/2014/main" id="{00000000-0008-0000-2800-0000670000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104" name="Rectangle 164">
            <a:extLst>
              <a:ext uri="{FF2B5EF4-FFF2-40B4-BE49-F238E27FC236}">
                <a16:creationId xmlns:a16="http://schemas.microsoft.com/office/drawing/2014/main" id="{00000000-0008-0000-2800-0000680000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15</xdr:col>
      <xdr:colOff>28575</xdr:colOff>
      <xdr:row>76</xdr:row>
      <xdr:rowOff>0</xdr:rowOff>
    </xdr:from>
    <xdr:to>
      <xdr:col>16</xdr:col>
      <xdr:colOff>19050</xdr:colOff>
      <xdr:row>79</xdr:row>
      <xdr:rowOff>57150</xdr:rowOff>
    </xdr:to>
    <xdr:sp macro="" textlink="">
      <xdr:nvSpPr>
        <xdr:cNvPr id="105" name="Rectangle 165">
          <a:extLst>
            <a:ext uri="{FF2B5EF4-FFF2-40B4-BE49-F238E27FC236}">
              <a16:creationId xmlns:a16="http://schemas.microsoft.com/office/drawing/2014/main" id="{00000000-0008-0000-2800-000069000000}"/>
            </a:ext>
          </a:extLst>
        </xdr:cNvPr>
        <xdr:cNvSpPr>
          <a:spLocks noChangeArrowheads="1"/>
        </xdr:cNvSpPr>
      </xdr:nvSpPr>
      <xdr:spPr bwMode="auto">
        <a:xfrm>
          <a:off x="4953000" y="13163550"/>
          <a:ext cx="390525" cy="400050"/>
        </a:xfrm>
        <a:prstGeom prst="rect">
          <a:avLst/>
        </a:prstGeom>
        <a:solidFill>
          <a:srgbClr val="FFFFFF"/>
        </a:solidFill>
        <a:ln w="9525" algn="ctr">
          <a:solidFill>
            <a:srgbClr val="000000"/>
          </a:solidFill>
          <a:round/>
          <a:headEnd/>
          <a:tailEnd/>
        </a:ln>
      </xdr:spPr>
    </xdr:sp>
    <xdr:clientData/>
  </xdr:twoCellAnchor>
  <xdr:twoCellAnchor>
    <xdr:from>
      <xdr:col>7</xdr:col>
      <xdr:colOff>66675</xdr:colOff>
      <xdr:row>12</xdr:row>
      <xdr:rowOff>85725</xdr:rowOff>
    </xdr:from>
    <xdr:to>
      <xdr:col>8</xdr:col>
      <xdr:colOff>400050</xdr:colOff>
      <xdr:row>14</xdr:row>
      <xdr:rowOff>66675</xdr:rowOff>
    </xdr:to>
    <xdr:grpSp>
      <xdr:nvGrpSpPr>
        <xdr:cNvPr id="106" name="Groupe 147">
          <a:extLst>
            <a:ext uri="{FF2B5EF4-FFF2-40B4-BE49-F238E27FC236}">
              <a16:creationId xmlns:a16="http://schemas.microsoft.com/office/drawing/2014/main" id="{00000000-0008-0000-2800-00006A000000}"/>
            </a:ext>
          </a:extLst>
        </xdr:cNvPr>
        <xdr:cNvGrpSpPr>
          <a:grpSpLocks/>
        </xdr:cNvGrpSpPr>
      </xdr:nvGrpSpPr>
      <xdr:grpSpPr bwMode="auto">
        <a:xfrm>
          <a:off x="2238375" y="2143125"/>
          <a:ext cx="742950" cy="304800"/>
          <a:chOff x="4429125" y="27365325"/>
          <a:chExt cx="781050" cy="371475"/>
        </a:xfrm>
      </xdr:grpSpPr>
      <xdr:sp macro="" textlink="">
        <xdr:nvSpPr>
          <xdr:cNvPr id="107" name="Rectangle 148">
            <a:extLst>
              <a:ext uri="{FF2B5EF4-FFF2-40B4-BE49-F238E27FC236}">
                <a16:creationId xmlns:a16="http://schemas.microsoft.com/office/drawing/2014/main" id="{00000000-0008-0000-2800-00006B0000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108" name="Rectangle 149">
            <a:extLst>
              <a:ext uri="{FF2B5EF4-FFF2-40B4-BE49-F238E27FC236}">
                <a16:creationId xmlns:a16="http://schemas.microsoft.com/office/drawing/2014/main" id="{00000000-0008-0000-2800-00006C0000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7</xdr:col>
      <xdr:colOff>319616</xdr:colOff>
      <xdr:row>17</xdr:row>
      <xdr:rowOff>10584</xdr:rowOff>
    </xdr:from>
    <xdr:to>
      <xdr:col>8</xdr:col>
      <xdr:colOff>281516</xdr:colOff>
      <xdr:row>17</xdr:row>
      <xdr:rowOff>162984</xdr:rowOff>
    </xdr:to>
    <xdr:sp macro="" textlink="">
      <xdr:nvSpPr>
        <xdr:cNvPr id="109" name="Rectangle 243">
          <a:extLst>
            <a:ext uri="{FF2B5EF4-FFF2-40B4-BE49-F238E27FC236}">
              <a16:creationId xmlns:a16="http://schemas.microsoft.com/office/drawing/2014/main" id="{00000000-0008-0000-2800-00006D000000}"/>
            </a:ext>
          </a:extLst>
        </xdr:cNvPr>
        <xdr:cNvSpPr>
          <a:spLocks noChangeArrowheads="1"/>
        </xdr:cNvSpPr>
      </xdr:nvSpPr>
      <xdr:spPr bwMode="auto">
        <a:xfrm>
          <a:off x="2494491" y="2894542"/>
          <a:ext cx="369358" cy="152400"/>
        </a:xfrm>
        <a:prstGeom prst="rect">
          <a:avLst/>
        </a:prstGeom>
        <a:solidFill>
          <a:srgbClr val="FFFFFF"/>
        </a:solidFill>
        <a:ln w="9525" algn="ctr">
          <a:solidFill>
            <a:srgbClr val="000000"/>
          </a:solidFill>
          <a:round/>
          <a:headEnd/>
          <a:tailEnd/>
        </a:ln>
      </xdr:spPr>
    </xdr:sp>
    <xdr:clientData/>
  </xdr:twoCellAnchor>
  <xdr:twoCellAnchor>
    <xdr:from>
      <xdr:col>7</xdr:col>
      <xdr:colOff>314325</xdr:colOff>
      <xdr:row>18</xdr:row>
      <xdr:rowOff>0</xdr:rowOff>
    </xdr:from>
    <xdr:to>
      <xdr:col>8</xdr:col>
      <xdr:colOff>276225</xdr:colOff>
      <xdr:row>18</xdr:row>
      <xdr:rowOff>152400</xdr:rowOff>
    </xdr:to>
    <xdr:sp macro="" textlink="">
      <xdr:nvSpPr>
        <xdr:cNvPr id="110" name="Rectangle 243">
          <a:extLst>
            <a:ext uri="{FF2B5EF4-FFF2-40B4-BE49-F238E27FC236}">
              <a16:creationId xmlns:a16="http://schemas.microsoft.com/office/drawing/2014/main" id="{00000000-0008-0000-2800-00006E000000}"/>
            </a:ext>
          </a:extLst>
        </xdr:cNvPr>
        <xdr:cNvSpPr>
          <a:spLocks noChangeArrowheads="1"/>
        </xdr:cNvSpPr>
      </xdr:nvSpPr>
      <xdr:spPr bwMode="auto">
        <a:xfrm>
          <a:off x="2438400" y="3038475"/>
          <a:ext cx="371475" cy="152400"/>
        </a:xfrm>
        <a:prstGeom prst="rect">
          <a:avLst/>
        </a:prstGeom>
        <a:solidFill>
          <a:srgbClr val="FFFFFF"/>
        </a:solidFill>
        <a:ln w="9525" algn="ctr">
          <a:solidFill>
            <a:srgbClr val="000000"/>
          </a:solidFill>
          <a:round/>
          <a:headEnd/>
          <a:tailEnd/>
        </a:ln>
      </xdr:spPr>
    </xdr:sp>
    <xdr:clientData/>
  </xdr:twoCellAnchor>
  <xdr:twoCellAnchor>
    <xdr:from>
      <xdr:col>7</xdr:col>
      <xdr:colOff>314325</xdr:colOff>
      <xdr:row>19</xdr:row>
      <xdr:rowOff>0</xdr:rowOff>
    </xdr:from>
    <xdr:to>
      <xdr:col>8</xdr:col>
      <xdr:colOff>276225</xdr:colOff>
      <xdr:row>19</xdr:row>
      <xdr:rowOff>152400</xdr:rowOff>
    </xdr:to>
    <xdr:sp macro="" textlink="">
      <xdr:nvSpPr>
        <xdr:cNvPr id="111" name="Rectangle 243">
          <a:extLst>
            <a:ext uri="{FF2B5EF4-FFF2-40B4-BE49-F238E27FC236}">
              <a16:creationId xmlns:a16="http://schemas.microsoft.com/office/drawing/2014/main" id="{00000000-0008-0000-2800-00006F000000}"/>
            </a:ext>
          </a:extLst>
        </xdr:cNvPr>
        <xdr:cNvSpPr>
          <a:spLocks noChangeArrowheads="1"/>
        </xdr:cNvSpPr>
      </xdr:nvSpPr>
      <xdr:spPr bwMode="auto">
        <a:xfrm>
          <a:off x="2438400" y="3209925"/>
          <a:ext cx="371475" cy="152400"/>
        </a:xfrm>
        <a:prstGeom prst="rect">
          <a:avLst/>
        </a:prstGeom>
        <a:solidFill>
          <a:srgbClr val="FFFFFF"/>
        </a:solidFill>
        <a:ln w="9525" algn="ctr">
          <a:solidFill>
            <a:srgbClr val="000000"/>
          </a:solidFill>
          <a:round/>
          <a:headEnd/>
          <a:tailEnd/>
        </a:ln>
      </xdr:spPr>
    </xdr:sp>
    <xdr:clientData/>
  </xdr:twoCellAnchor>
  <xdr:twoCellAnchor>
    <xdr:from>
      <xdr:col>25</xdr:col>
      <xdr:colOff>219075</xdr:colOff>
      <xdr:row>47</xdr:row>
      <xdr:rowOff>38100</xdr:rowOff>
    </xdr:from>
    <xdr:to>
      <xdr:col>26</xdr:col>
      <xdr:colOff>266700</xdr:colOff>
      <xdr:row>49</xdr:row>
      <xdr:rowOff>152400</xdr:rowOff>
    </xdr:to>
    <xdr:sp macro="" textlink="">
      <xdr:nvSpPr>
        <xdr:cNvPr id="112" name="Rectangle 165">
          <a:extLst>
            <a:ext uri="{FF2B5EF4-FFF2-40B4-BE49-F238E27FC236}">
              <a16:creationId xmlns:a16="http://schemas.microsoft.com/office/drawing/2014/main" id="{00000000-0008-0000-2800-000070000000}"/>
            </a:ext>
          </a:extLst>
        </xdr:cNvPr>
        <xdr:cNvSpPr>
          <a:spLocks noChangeArrowheads="1"/>
        </xdr:cNvSpPr>
      </xdr:nvSpPr>
      <xdr:spPr bwMode="auto">
        <a:xfrm>
          <a:off x="8610600" y="8229600"/>
          <a:ext cx="371475" cy="457200"/>
        </a:xfrm>
        <a:prstGeom prst="rect">
          <a:avLst/>
        </a:prstGeom>
        <a:solidFill>
          <a:srgbClr val="FFFFFF"/>
        </a:solidFill>
        <a:ln w="9525" algn="ctr">
          <a:solidFill>
            <a:srgbClr val="000000"/>
          </a:solidFill>
          <a:round/>
          <a:headEnd/>
          <a:tailEnd/>
        </a:ln>
      </xdr:spPr>
    </xdr:sp>
    <xdr:clientData/>
  </xdr:twoCellAnchor>
  <xdr:twoCellAnchor>
    <xdr:from>
      <xdr:col>24</xdr:col>
      <xdr:colOff>323850</xdr:colOff>
      <xdr:row>53</xdr:row>
      <xdr:rowOff>47625</xdr:rowOff>
    </xdr:from>
    <xdr:to>
      <xdr:col>25</xdr:col>
      <xdr:colOff>314325</xdr:colOff>
      <xdr:row>55</xdr:row>
      <xdr:rowOff>104775</xdr:rowOff>
    </xdr:to>
    <xdr:sp macro="" textlink="">
      <xdr:nvSpPr>
        <xdr:cNvPr id="113" name="Rectangle 166">
          <a:extLst>
            <a:ext uri="{FF2B5EF4-FFF2-40B4-BE49-F238E27FC236}">
              <a16:creationId xmlns:a16="http://schemas.microsoft.com/office/drawing/2014/main" id="{00000000-0008-0000-2800-000071000000}"/>
            </a:ext>
          </a:extLst>
        </xdr:cNvPr>
        <xdr:cNvSpPr>
          <a:spLocks noChangeArrowheads="1"/>
        </xdr:cNvSpPr>
      </xdr:nvSpPr>
      <xdr:spPr bwMode="auto">
        <a:xfrm>
          <a:off x="8391525" y="9267825"/>
          <a:ext cx="314325" cy="400050"/>
        </a:xfrm>
        <a:prstGeom prst="rect">
          <a:avLst/>
        </a:prstGeom>
        <a:solidFill>
          <a:srgbClr val="FFFFFF"/>
        </a:solidFill>
        <a:ln w="9525" algn="ctr">
          <a:solidFill>
            <a:srgbClr val="000000"/>
          </a:solidFill>
          <a:round/>
          <a:headEnd/>
          <a:tailEnd/>
        </a:ln>
      </xdr:spPr>
    </xdr:sp>
    <xdr:clientData/>
  </xdr:twoCellAnchor>
  <xdr:twoCellAnchor>
    <xdr:from>
      <xdr:col>19</xdr:col>
      <xdr:colOff>9525</xdr:colOff>
      <xdr:row>62</xdr:row>
      <xdr:rowOff>9525</xdr:rowOff>
    </xdr:from>
    <xdr:to>
      <xdr:col>26</xdr:col>
      <xdr:colOff>238125</xdr:colOff>
      <xdr:row>63</xdr:row>
      <xdr:rowOff>123825</xdr:rowOff>
    </xdr:to>
    <xdr:grpSp>
      <xdr:nvGrpSpPr>
        <xdr:cNvPr id="114" name="Groupe 167">
          <a:extLst>
            <a:ext uri="{FF2B5EF4-FFF2-40B4-BE49-F238E27FC236}">
              <a16:creationId xmlns:a16="http://schemas.microsoft.com/office/drawing/2014/main" id="{00000000-0008-0000-2800-000072000000}"/>
            </a:ext>
          </a:extLst>
        </xdr:cNvPr>
        <xdr:cNvGrpSpPr>
          <a:grpSpLocks/>
        </xdr:cNvGrpSpPr>
      </xdr:nvGrpSpPr>
      <xdr:grpSpPr bwMode="auto">
        <a:xfrm>
          <a:off x="6534150" y="10734675"/>
          <a:ext cx="3581400" cy="285750"/>
          <a:chOff x="5295900" y="29260800"/>
          <a:chExt cx="2447926" cy="285750"/>
        </a:xfrm>
      </xdr:grpSpPr>
      <xdr:grpSp>
        <xdr:nvGrpSpPr>
          <xdr:cNvPr id="115" name="Groupe 24">
            <a:extLst>
              <a:ext uri="{FF2B5EF4-FFF2-40B4-BE49-F238E27FC236}">
                <a16:creationId xmlns:a16="http://schemas.microsoft.com/office/drawing/2014/main" id="{00000000-0008-0000-2800-000073000000}"/>
              </a:ext>
            </a:extLst>
          </xdr:cNvPr>
          <xdr:cNvGrpSpPr>
            <a:grpSpLocks/>
          </xdr:cNvGrpSpPr>
        </xdr:nvGrpSpPr>
        <xdr:grpSpPr bwMode="auto">
          <a:xfrm>
            <a:off x="6124574" y="29260800"/>
            <a:ext cx="790576" cy="285750"/>
            <a:chOff x="7439024" y="28575000"/>
            <a:chExt cx="790576" cy="285750"/>
          </a:xfrm>
        </xdr:grpSpPr>
        <xdr:sp macro="" textlink="">
          <xdr:nvSpPr>
            <xdr:cNvPr id="122" name="Rectangle 175">
              <a:extLst>
                <a:ext uri="{FF2B5EF4-FFF2-40B4-BE49-F238E27FC236}">
                  <a16:creationId xmlns:a16="http://schemas.microsoft.com/office/drawing/2014/main" id="{00000000-0008-0000-2800-00007A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123" name="Rectangle 176">
              <a:extLst>
                <a:ext uri="{FF2B5EF4-FFF2-40B4-BE49-F238E27FC236}">
                  <a16:creationId xmlns:a16="http://schemas.microsoft.com/office/drawing/2014/main" id="{00000000-0008-0000-2800-00007B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116" name="Groupe 25">
            <a:extLst>
              <a:ext uri="{FF2B5EF4-FFF2-40B4-BE49-F238E27FC236}">
                <a16:creationId xmlns:a16="http://schemas.microsoft.com/office/drawing/2014/main" id="{00000000-0008-0000-2800-000074000000}"/>
              </a:ext>
            </a:extLst>
          </xdr:cNvPr>
          <xdr:cNvGrpSpPr>
            <a:grpSpLocks/>
          </xdr:cNvGrpSpPr>
        </xdr:nvGrpSpPr>
        <xdr:grpSpPr bwMode="auto">
          <a:xfrm>
            <a:off x="5295900" y="29260800"/>
            <a:ext cx="790576" cy="285750"/>
            <a:chOff x="7439024" y="28575000"/>
            <a:chExt cx="790576" cy="285750"/>
          </a:xfrm>
        </xdr:grpSpPr>
        <xdr:sp macro="" textlink="">
          <xdr:nvSpPr>
            <xdr:cNvPr id="120" name="Rectangle 173">
              <a:extLst>
                <a:ext uri="{FF2B5EF4-FFF2-40B4-BE49-F238E27FC236}">
                  <a16:creationId xmlns:a16="http://schemas.microsoft.com/office/drawing/2014/main" id="{00000000-0008-0000-2800-000078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121" name="Rectangle 174">
              <a:extLst>
                <a:ext uri="{FF2B5EF4-FFF2-40B4-BE49-F238E27FC236}">
                  <a16:creationId xmlns:a16="http://schemas.microsoft.com/office/drawing/2014/main" id="{00000000-0008-0000-2800-000079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117" name="Groupe 28">
            <a:extLst>
              <a:ext uri="{FF2B5EF4-FFF2-40B4-BE49-F238E27FC236}">
                <a16:creationId xmlns:a16="http://schemas.microsoft.com/office/drawing/2014/main" id="{00000000-0008-0000-2800-000075000000}"/>
              </a:ext>
            </a:extLst>
          </xdr:cNvPr>
          <xdr:cNvGrpSpPr>
            <a:grpSpLocks/>
          </xdr:cNvGrpSpPr>
        </xdr:nvGrpSpPr>
        <xdr:grpSpPr bwMode="auto">
          <a:xfrm>
            <a:off x="6953250" y="29260800"/>
            <a:ext cx="790576" cy="285750"/>
            <a:chOff x="7439024" y="28575000"/>
            <a:chExt cx="790576" cy="285750"/>
          </a:xfrm>
        </xdr:grpSpPr>
        <xdr:sp macro="" textlink="">
          <xdr:nvSpPr>
            <xdr:cNvPr id="118" name="Rectangle 171">
              <a:extLst>
                <a:ext uri="{FF2B5EF4-FFF2-40B4-BE49-F238E27FC236}">
                  <a16:creationId xmlns:a16="http://schemas.microsoft.com/office/drawing/2014/main" id="{00000000-0008-0000-2800-000076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119" name="Rectangle 172">
              <a:extLst>
                <a:ext uri="{FF2B5EF4-FFF2-40B4-BE49-F238E27FC236}">
                  <a16:creationId xmlns:a16="http://schemas.microsoft.com/office/drawing/2014/main" id="{00000000-0008-0000-2800-000077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25</xdr:col>
      <xdr:colOff>133350</xdr:colOff>
      <xdr:row>79</xdr:row>
      <xdr:rowOff>142875</xdr:rowOff>
    </xdr:from>
    <xdr:to>
      <xdr:col>26</xdr:col>
      <xdr:colOff>219075</xdr:colOff>
      <xdr:row>81</xdr:row>
      <xdr:rowOff>133350</xdr:rowOff>
    </xdr:to>
    <xdr:sp macro="" textlink="">
      <xdr:nvSpPr>
        <xdr:cNvPr id="124" name="Rectangle 17">
          <a:extLst>
            <a:ext uri="{FF2B5EF4-FFF2-40B4-BE49-F238E27FC236}">
              <a16:creationId xmlns:a16="http://schemas.microsoft.com/office/drawing/2014/main" id="{00000000-0008-0000-2800-00007C000000}"/>
            </a:ext>
          </a:extLst>
        </xdr:cNvPr>
        <xdr:cNvSpPr>
          <a:spLocks noChangeArrowheads="1"/>
        </xdr:cNvSpPr>
      </xdr:nvSpPr>
      <xdr:spPr bwMode="auto">
        <a:xfrm>
          <a:off x="8524875" y="13649325"/>
          <a:ext cx="409575" cy="333375"/>
        </a:xfrm>
        <a:prstGeom prst="rect">
          <a:avLst/>
        </a:prstGeom>
        <a:solidFill>
          <a:srgbClr val="FFFFFF"/>
        </a:solidFill>
        <a:ln w="9525" algn="ctr">
          <a:solidFill>
            <a:srgbClr val="000000"/>
          </a:solidFill>
          <a:round/>
          <a:headEnd/>
          <a:tailEnd/>
        </a:ln>
      </xdr:spPr>
    </xdr:sp>
    <xdr:clientData/>
  </xdr:twoCellAnchor>
  <xdr:twoCellAnchor>
    <xdr:from>
      <xdr:col>25</xdr:col>
      <xdr:colOff>171450</xdr:colOff>
      <xdr:row>84</xdr:row>
      <xdr:rowOff>0</xdr:rowOff>
    </xdr:from>
    <xdr:to>
      <xdr:col>26</xdr:col>
      <xdr:colOff>200025</xdr:colOff>
      <xdr:row>85</xdr:row>
      <xdr:rowOff>123825</xdr:rowOff>
    </xdr:to>
    <xdr:sp macro="" textlink="">
      <xdr:nvSpPr>
        <xdr:cNvPr id="125" name="Rectangle 18">
          <a:extLst>
            <a:ext uri="{FF2B5EF4-FFF2-40B4-BE49-F238E27FC236}">
              <a16:creationId xmlns:a16="http://schemas.microsoft.com/office/drawing/2014/main" id="{00000000-0008-0000-2800-00007D000000}"/>
            </a:ext>
          </a:extLst>
        </xdr:cNvPr>
        <xdr:cNvSpPr>
          <a:spLocks noChangeArrowheads="1"/>
        </xdr:cNvSpPr>
      </xdr:nvSpPr>
      <xdr:spPr bwMode="auto">
        <a:xfrm>
          <a:off x="8562975" y="14363700"/>
          <a:ext cx="352425" cy="295275"/>
        </a:xfrm>
        <a:prstGeom prst="rect">
          <a:avLst/>
        </a:prstGeom>
        <a:solidFill>
          <a:srgbClr val="FFFFFF"/>
        </a:solidFill>
        <a:ln w="9525" algn="ctr">
          <a:solidFill>
            <a:srgbClr val="000000"/>
          </a:solidFill>
          <a:round/>
          <a:headEnd/>
          <a:tailEnd/>
        </a:ln>
      </xdr:spPr>
    </xdr:sp>
    <xdr:clientData/>
  </xdr:twoCellAnchor>
  <xdr:twoCellAnchor>
    <xdr:from>
      <xdr:col>25</xdr:col>
      <xdr:colOff>0</xdr:colOff>
      <xdr:row>71</xdr:row>
      <xdr:rowOff>0</xdr:rowOff>
    </xdr:from>
    <xdr:to>
      <xdr:col>26</xdr:col>
      <xdr:colOff>19050</xdr:colOff>
      <xdr:row>73</xdr:row>
      <xdr:rowOff>38100</xdr:rowOff>
    </xdr:to>
    <xdr:sp macro="" textlink="">
      <xdr:nvSpPr>
        <xdr:cNvPr id="126" name="Rectangle 177">
          <a:extLst>
            <a:ext uri="{FF2B5EF4-FFF2-40B4-BE49-F238E27FC236}">
              <a16:creationId xmlns:a16="http://schemas.microsoft.com/office/drawing/2014/main" id="{00000000-0008-0000-2800-00007E000000}"/>
            </a:ext>
          </a:extLst>
        </xdr:cNvPr>
        <xdr:cNvSpPr>
          <a:spLocks noChangeArrowheads="1"/>
        </xdr:cNvSpPr>
      </xdr:nvSpPr>
      <xdr:spPr bwMode="auto">
        <a:xfrm>
          <a:off x="8391525" y="12306300"/>
          <a:ext cx="342900" cy="381000"/>
        </a:xfrm>
        <a:prstGeom prst="rect">
          <a:avLst/>
        </a:prstGeom>
        <a:solidFill>
          <a:srgbClr val="FFFFFF"/>
        </a:solidFill>
        <a:ln w="9525" algn="ctr">
          <a:solidFill>
            <a:srgbClr val="000000"/>
          </a:solidFill>
          <a:round/>
          <a:headEnd/>
          <a:tailEnd/>
        </a:ln>
      </xdr:spPr>
    </xdr:sp>
    <xdr:clientData/>
  </xdr:twoCellAnchor>
  <xdr:twoCellAnchor>
    <xdr:from>
      <xdr:col>7</xdr:col>
      <xdr:colOff>219075</xdr:colOff>
      <xdr:row>96</xdr:row>
      <xdr:rowOff>38100</xdr:rowOff>
    </xdr:from>
    <xdr:to>
      <xdr:col>8</xdr:col>
      <xdr:colOff>266700</xdr:colOff>
      <xdr:row>98</xdr:row>
      <xdr:rowOff>47625</xdr:rowOff>
    </xdr:to>
    <xdr:sp macro="" textlink="">
      <xdr:nvSpPr>
        <xdr:cNvPr id="127" name="Rectangle 21">
          <a:extLst>
            <a:ext uri="{FF2B5EF4-FFF2-40B4-BE49-F238E27FC236}">
              <a16:creationId xmlns:a16="http://schemas.microsoft.com/office/drawing/2014/main" id="{00000000-0008-0000-2800-00007F000000}"/>
            </a:ext>
            <a:ext uri="{147F2762-F138-4A5C-976F-8EAC2B608ADB}">
              <a16:predDERef xmlns:a16="http://schemas.microsoft.com/office/drawing/2014/main" pred="{5455D7C9-C30A-425F-B2FE-3F96499695A7}"/>
            </a:ext>
          </a:extLst>
        </xdr:cNvPr>
        <xdr:cNvSpPr>
          <a:spLocks noChangeArrowheads="1"/>
        </xdr:cNvSpPr>
      </xdr:nvSpPr>
      <xdr:spPr bwMode="auto">
        <a:xfrm>
          <a:off x="2343150" y="16630650"/>
          <a:ext cx="457200" cy="352425"/>
        </a:xfrm>
        <a:prstGeom prst="rect">
          <a:avLst/>
        </a:prstGeom>
        <a:solidFill>
          <a:srgbClr val="FFFFFF"/>
        </a:solidFill>
        <a:ln w="9525" algn="ctr">
          <a:solidFill>
            <a:srgbClr val="000000"/>
          </a:solidFill>
          <a:round/>
          <a:headEnd/>
          <a:tailEnd/>
        </a:ln>
      </xdr:spPr>
    </xdr:sp>
    <xdr:clientData/>
  </xdr:twoCellAnchor>
  <xdr:twoCellAnchor>
    <xdr:from>
      <xdr:col>5</xdr:col>
      <xdr:colOff>333375</xdr:colOff>
      <xdr:row>102</xdr:row>
      <xdr:rowOff>38100</xdr:rowOff>
    </xdr:from>
    <xdr:to>
      <xdr:col>6</xdr:col>
      <xdr:colOff>276225</xdr:colOff>
      <xdr:row>104</xdr:row>
      <xdr:rowOff>0</xdr:rowOff>
    </xdr:to>
    <xdr:sp macro="" textlink="">
      <xdr:nvSpPr>
        <xdr:cNvPr id="128" name="Rectangle 119">
          <a:extLst>
            <a:ext uri="{FF2B5EF4-FFF2-40B4-BE49-F238E27FC236}">
              <a16:creationId xmlns:a16="http://schemas.microsoft.com/office/drawing/2014/main" id="{00000000-0008-0000-2800-000080000000}"/>
            </a:ext>
          </a:extLst>
        </xdr:cNvPr>
        <xdr:cNvSpPr>
          <a:spLocks noChangeArrowheads="1"/>
        </xdr:cNvSpPr>
      </xdr:nvSpPr>
      <xdr:spPr bwMode="auto">
        <a:xfrm>
          <a:off x="1781175" y="17487900"/>
          <a:ext cx="285750" cy="304800"/>
        </a:xfrm>
        <a:prstGeom prst="rect">
          <a:avLst/>
        </a:prstGeom>
        <a:solidFill>
          <a:srgbClr val="FFFFFF"/>
        </a:solidFill>
        <a:ln w="9525" algn="ctr">
          <a:solidFill>
            <a:srgbClr val="000000"/>
          </a:solidFill>
          <a:round/>
          <a:headEnd/>
          <a:tailEnd/>
        </a:ln>
      </xdr:spPr>
    </xdr:sp>
    <xdr:clientData/>
  </xdr:twoCellAnchor>
  <xdr:twoCellAnchor>
    <xdr:from>
      <xdr:col>0</xdr:col>
      <xdr:colOff>314325</xdr:colOff>
      <xdr:row>111</xdr:row>
      <xdr:rowOff>57150</xdr:rowOff>
    </xdr:from>
    <xdr:to>
      <xdr:col>7</xdr:col>
      <xdr:colOff>390525</xdr:colOff>
      <xdr:row>113</xdr:row>
      <xdr:rowOff>76200</xdr:rowOff>
    </xdr:to>
    <xdr:grpSp>
      <xdr:nvGrpSpPr>
        <xdr:cNvPr id="129" name="Groupe 73">
          <a:extLst>
            <a:ext uri="{FF2B5EF4-FFF2-40B4-BE49-F238E27FC236}">
              <a16:creationId xmlns:a16="http://schemas.microsoft.com/office/drawing/2014/main" id="{00000000-0008-0000-2800-000081000000}"/>
            </a:ext>
          </a:extLst>
        </xdr:cNvPr>
        <xdr:cNvGrpSpPr>
          <a:grpSpLocks/>
        </xdr:cNvGrpSpPr>
      </xdr:nvGrpSpPr>
      <xdr:grpSpPr bwMode="auto">
        <a:xfrm>
          <a:off x="314325" y="19211925"/>
          <a:ext cx="2247900" cy="361950"/>
          <a:chOff x="5295900" y="29260800"/>
          <a:chExt cx="2447926" cy="285750"/>
        </a:xfrm>
      </xdr:grpSpPr>
      <xdr:grpSp>
        <xdr:nvGrpSpPr>
          <xdr:cNvPr id="130" name="Groupe 24">
            <a:extLst>
              <a:ext uri="{FF2B5EF4-FFF2-40B4-BE49-F238E27FC236}">
                <a16:creationId xmlns:a16="http://schemas.microsoft.com/office/drawing/2014/main" id="{00000000-0008-0000-2800-000082000000}"/>
              </a:ext>
            </a:extLst>
          </xdr:cNvPr>
          <xdr:cNvGrpSpPr>
            <a:grpSpLocks/>
          </xdr:cNvGrpSpPr>
        </xdr:nvGrpSpPr>
        <xdr:grpSpPr bwMode="auto">
          <a:xfrm>
            <a:off x="6124574" y="29260800"/>
            <a:ext cx="790576" cy="285750"/>
            <a:chOff x="7439024" y="28575000"/>
            <a:chExt cx="790576" cy="285750"/>
          </a:xfrm>
        </xdr:grpSpPr>
        <xdr:sp macro="" textlink="">
          <xdr:nvSpPr>
            <xdr:cNvPr id="137" name="Rectangle 81">
              <a:extLst>
                <a:ext uri="{FF2B5EF4-FFF2-40B4-BE49-F238E27FC236}">
                  <a16:creationId xmlns:a16="http://schemas.microsoft.com/office/drawing/2014/main" id="{00000000-0008-0000-2800-000089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138" name="Rectangle 82">
              <a:extLst>
                <a:ext uri="{FF2B5EF4-FFF2-40B4-BE49-F238E27FC236}">
                  <a16:creationId xmlns:a16="http://schemas.microsoft.com/office/drawing/2014/main" id="{00000000-0008-0000-2800-00008A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131" name="Groupe 25">
            <a:extLst>
              <a:ext uri="{FF2B5EF4-FFF2-40B4-BE49-F238E27FC236}">
                <a16:creationId xmlns:a16="http://schemas.microsoft.com/office/drawing/2014/main" id="{00000000-0008-0000-2800-000083000000}"/>
              </a:ext>
            </a:extLst>
          </xdr:cNvPr>
          <xdr:cNvGrpSpPr>
            <a:grpSpLocks/>
          </xdr:cNvGrpSpPr>
        </xdr:nvGrpSpPr>
        <xdr:grpSpPr bwMode="auto">
          <a:xfrm>
            <a:off x="5295900" y="29260800"/>
            <a:ext cx="790576" cy="285750"/>
            <a:chOff x="7439024" y="28575000"/>
            <a:chExt cx="790576" cy="285750"/>
          </a:xfrm>
        </xdr:grpSpPr>
        <xdr:sp macro="" textlink="">
          <xdr:nvSpPr>
            <xdr:cNvPr id="135" name="Rectangle 79">
              <a:extLst>
                <a:ext uri="{FF2B5EF4-FFF2-40B4-BE49-F238E27FC236}">
                  <a16:creationId xmlns:a16="http://schemas.microsoft.com/office/drawing/2014/main" id="{00000000-0008-0000-2800-000087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136" name="Rectangle 80">
              <a:extLst>
                <a:ext uri="{FF2B5EF4-FFF2-40B4-BE49-F238E27FC236}">
                  <a16:creationId xmlns:a16="http://schemas.microsoft.com/office/drawing/2014/main" id="{00000000-0008-0000-2800-000088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132" name="Groupe 28">
            <a:extLst>
              <a:ext uri="{FF2B5EF4-FFF2-40B4-BE49-F238E27FC236}">
                <a16:creationId xmlns:a16="http://schemas.microsoft.com/office/drawing/2014/main" id="{00000000-0008-0000-2800-000084000000}"/>
              </a:ext>
            </a:extLst>
          </xdr:cNvPr>
          <xdr:cNvGrpSpPr>
            <a:grpSpLocks/>
          </xdr:cNvGrpSpPr>
        </xdr:nvGrpSpPr>
        <xdr:grpSpPr bwMode="auto">
          <a:xfrm>
            <a:off x="6953250" y="29260800"/>
            <a:ext cx="790576" cy="285750"/>
            <a:chOff x="7439024" y="28575000"/>
            <a:chExt cx="790576" cy="285750"/>
          </a:xfrm>
        </xdr:grpSpPr>
        <xdr:sp macro="" textlink="">
          <xdr:nvSpPr>
            <xdr:cNvPr id="133" name="Rectangle 77">
              <a:extLst>
                <a:ext uri="{FF2B5EF4-FFF2-40B4-BE49-F238E27FC236}">
                  <a16:creationId xmlns:a16="http://schemas.microsoft.com/office/drawing/2014/main" id="{00000000-0008-0000-2800-000085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134" name="Rectangle 78">
              <a:extLst>
                <a:ext uri="{FF2B5EF4-FFF2-40B4-BE49-F238E27FC236}">
                  <a16:creationId xmlns:a16="http://schemas.microsoft.com/office/drawing/2014/main" id="{00000000-0008-0000-2800-000086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7</xdr:col>
      <xdr:colOff>19050</xdr:colOff>
      <xdr:row>106</xdr:row>
      <xdr:rowOff>0</xdr:rowOff>
    </xdr:from>
    <xdr:to>
      <xdr:col>8</xdr:col>
      <xdr:colOff>19050</xdr:colOff>
      <xdr:row>107</xdr:row>
      <xdr:rowOff>152400</xdr:rowOff>
    </xdr:to>
    <xdr:sp macro="" textlink="">
      <xdr:nvSpPr>
        <xdr:cNvPr id="139" name="Rectangle 103">
          <a:extLst>
            <a:ext uri="{FF2B5EF4-FFF2-40B4-BE49-F238E27FC236}">
              <a16:creationId xmlns:a16="http://schemas.microsoft.com/office/drawing/2014/main" id="{00000000-0008-0000-2800-00008B000000}"/>
            </a:ext>
          </a:extLst>
        </xdr:cNvPr>
        <xdr:cNvSpPr>
          <a:spLocks noChangeArrowheads="1"/>
        </xdr:cNvSpPr>
      </xdr:nvSpPr>
      <xdr:spPr bwMode="auto">
        <a:xfrm>
          <a:off x="2143125" y="18307050"/>
          <a:ext cx="409575" cy="323850"/>
        </a:xfrm>
        <a:prstGeom prst="rect">
          <a:avLst/>
        </a:prstGeom>
        <a:solidFill>
          <a:srgbClr val="FFFFFF"/>
        </a:solidFill>
        <a:ln w="9525" algn="ctr">
          <a:solidFill>
            <a:srgbClr val="000000"/>
          </a:solidFill>
          <a:round/>
          <a:headEnd/>
          <a:tailEnd/>
        </a:ln>
      </xdr:spPr>
    </xdr:sp>
    <xdr:clientData/>
  </xdr:twoCellAnchor>
  <xdr:twoCellAnchor>
    <xdr:from>
      <xdr:col>5</xdr:col>
      <xdr:colOff>314325</xdr:colOff>
      <xdr:row>120</xdr:row>
      <xdr:rowOff>38100</xdr:rowOff>
    </xdr:from>
    <xdr:to>
      <xdr:col>6</xdr:col>
      <xdr:colOff>304800</xdr:colOff>
      <xdr:row>121</xdr:row>
      <xdr:rowOff>152400</xdr:rowOff>
    </xdr:to>
    <xdr:sp macro="" textlink="">
      <xdr:nvSpPr>
        <xdr:cNvPr id="140" name="Rectangle 109">
          <a:extLst>
            <a:ext uri="{FF2B5EF4-FFF2-40B4-BE49-F238E27FC236}">
              <a16:creationId xmlns:a16="http://schemas.microsoft.com/office/drawing/2014/main" id="{00000000-0008-0000-2800-00008C000000}"/>
            </a:ext>
          </a:extLst>
        </xdr:cNvPr>
        <xdr:cNvSpPr>
          <a:spLocks noChangeArrowheads="1"/>
        </xdr:cNvSpPr>
      </xdr:nvSpPr>
      <xdr:spPr bwMode="auto">
        <a:xfrm>
          <a:off x="1762125" y="20745450"/>
          <a:ext cx="333375" cy="285750"/>
        </a:xfrm>
        <a:prstGeom prst="rect">
          <a:avLst/>
        </a:prstGeom>
        <a:solidFill>
          <a:srgbClr val="FFFFFF"/>
        </a:solidFill>
        <a:ln w="9525" algn="ctr">
          <a:solidFill>
            <a:srgbClr val="000000"/>
          </a:solidFill>
          <a:round/>
          <a:headEnd/>
          <a:tailEnd/>
        </a:ln>
      </xdr:spPr>
    </xdr:sp>
    <xdr:clientData/>
  </xdr:twoCellAnchor>
  <xdr:twoCellAnchor>
    <xdr:from>
      <xdr:col>5</xdr:col>
      <xdr:colOff>28575</xdr:colOff>
      <xdr:row>124</xdr:row>
      <xdr:rowOff>38100</xdr:rowOff>
    </xdr:from>
    <xdr:to>
      <xdr:col>6</xdr:col>
      <xdr:colOff>9525</xdr:colOff>
      <xdr:row>126</xdr:row>
      <xdr:rowOff>0</xdr:rowOff>
    </xdr:to>
    <xdr:sp macro="" textlink="">
      <xdr:nvSpPr>
        <xdr:cNvPr id="141" name="Rectangle 110">
          <a:extLst>
            <a:ext uri="{FF2B5EF4-FFF2-40B4-BE49-F238E27FC236}">
              <a16:creationId xmlns:a16="http://schemas.microsoft.com/office/drawing/2014/main" id="{00000000-0008-0000-2800-00008D000000}"/>
            </a:ext>
          </a:extLst>
        </xdr:cNvPr>
        <xdr:cNvSpPr>
          <a:spLocks noChangeArrowheads="1"/>
        </xdr:cNvSpPr>
      </xdr:nvSpPr>
      <xdr:spPr bwMode="auto">
        <a:xfrm>
          <a:off x="1476375" y="21431250"/>
          <a:ext cx="323850" cy="304800"/>
        </a:xfrm>
        <a:prstGeom prst="rect">
          <a:avLst/>
        </a:prstGeom>
        <a:solidFill>
          <a:srgbClr val="FFFFFF"/>
        </a:solidFill>
        <a:ln w="9525" algn="ctr">
          <a:solidFill>
            <a:srgbClr val="000000"/>
          </a:solidFill>
          <a:round/>
          <a:headEnd/>
          <a:tailEnd/>
        </a:ln>
      </xdr:spPr>
    </xdr:sp>
    <xdr:clientData/>
  </xdr:twoCellAnchor>
  <xdr:twoCellAnchor>
    <xdr:from>
      <xdr:col>1</xdr:col>
      <xdr:colOff>46038</xdr:colOff>
      <xdr:row>129</xdr:row>
      <xdr:rowOff>49213</xdr:rowOff>
    </xdr:from>
    <xdr:to>
      <xdr:col>8</xdr:col>
      <xdr:colOff>46038</xdr:colOff>
      <xdr:row>130</xdr:row>
      <xdr:rowOff>163513</xdr:rowOff>
    </xdr:to>
    <xdr:grpSp>
      <xdr:nvGrpSpPr>
        <xdr:cNvPr id="142" name="Groupe 73">
          <a:extLst>
            <a:ext uri="{FF2B5EF4-FFF2-40B4-BE49-F238E27FC236}">
              <a16:creationId xmlns:a16="http://schemas.microsoft.com/office/drawing/2014/main" id="{00000000-0008-0000-2800-00008E000000}"/>
            </a:ext>
          </a:extLst>
        </xdr:cNvPr>
        <xdr:cNvGrpSpPr>
          <a:grpSpLocks/>
        </xdr:cNvGrpSpPr>
      </xdr:nvGrpSpPr>
      <xdr:grpSpPr bwMode="auto">
        <a:xfrm>
          <a:off x="407988" y="22290088"/>
          <a:ext cx="2219325" cy="285750"/>
          <a:chOff x="5295900" y="29260800"/>
          <a:chExt cx="2447926" cy="285750"/>
        </a:xfrm>
      </xdr:grpSpPr>
      <xdr:grpSp>
        <xdr:nvGrpSpPr>
          <xdr:cNvPr id="143" name="Groupe 24">
            <a:extLst>
              <a:ext uri="{FF2B5EF4-FFF2-40B4-BE49-F238E27FC236}">
                <a16:creationId xmlns:a16="http://schemas.microsoft.com/office/drawing/2014/main" id="{00000000-0008-0000-2800-00008F000000}"/>
              </a:ext>
            </a:extLst>
          </xdr:cNvPr>
          <xdr:cNvGrpSpPr>
            <a:grpSpLocks/>
          </xdr:cNvGrpSpPr>
        </xdr:nvGrpSpPr>
        <xdr:grpSpPr bwMode="auto">
          <a:xfrm>
            <a:off x="6124574" y="29260800"/>
            <a:ext cx="790576" cy="285750"/>
            <a:chOff x="7439024" y="28575000"/>
            <a:chExt cx="790576" cy="285750"/>
          </a:xfrm>
        </xdr:grpSpPr>
        <xdr:sp macro="" textlink="">
          <xdr:nvSpPr>
            <xdr:cNvPr id="150" name="Rectangle 81">
              <a:extLst>
                <a:ext uri="{FF2B5EF4-FFF2-40B4-BE49-F238E27FC236}">
                  <a16:creationId xmlns:a16="http://schemas.microsoft.com/office/drawing/2014/main" id="{00000000-0008-0000-2800-000096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151" name="Rectangle 82">
              <a:extLst>
                <a:ext uri="{FF2B5EF4-FFF2-40B4-BE49-F238E27FC236}">
                  <a16:creationId xmlns:a16="http://schemas.microsoft.com/office/drawing/2014/main" id="{00000000-0008-0000-2800-000097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144" name="Groupe 25">
            <a:extLst>
              <a:ext uri="{FF2B5EF4-FFF2-40B4-BE49-F238E27FC236}">
                <a16:creationId xmlns:a16="http://schemas.microsoft.com/office/drawing/2014/main" id="{00000000-0008-0000-2800-000090000000}"/>
              </a:ext>
            </a:extLst>
          </xdr:cNvPr>
          <xdr:cNvGrpSpPr>
            <a:grpSpLocks/>
          </xdr:cNvGrpSpPr>
        </xdr:nvGrpSpPr>
        <xdr:grpSpPr bwMode="auto">
          <a:xfrm>
            <a:off x="5295900" y="29260800"/>
            <a:ext cx="790576" cy="285750"/>
            <a:chOff x="7439024" y="28575000"/>
            <a:chExt cx="790576" cy="285750"/>
          </a:xfrm>
        </xdr:grpSpPr>
        <xdr:sp macro="" textlink="">
          <xdr:nvSpPr>
            <xdr:cNvPr id="148" name="Rectangle 79">
              <a:extLst>
                <a:ext uri="{FF2B5EF4-FFF2-40B4-BE49-F238E27FC236}">
                  <a16:creationId xmlns:a16="http://schemas.microsoft.com/office/drawing/2014/main" id="{00000000-0008-0000-2800-000094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149" name="Rectangle 80">
              <a:extLst>
                <a:ext uri="{FF2B5EF4-FFF2-40B4-BE49-F238E27FC236}">
                  <a16:creationId xmlns:a16="http://schemas.microsoft.com/office/drawing/2014/main" id="{00000000-0008-0000-2800-000095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145" name="Groupe 28">
            <a:extLst>
              <a:ext uri="{FF2B5EF4-FFF2-40B4-BE49-F238E27FC236}">
                <a16:creationId xmlns:a16="http://schemas.microsoft.com/office/drawing/2014/main" id="{00000000-0008-0000-2800-000091000000}"/>
              </a:ext>
            </a:extLst>
          </xdr:cNvPr>
          <xdr:cNvGrpSpPr>
            <a:grpSpLocks/>
          </xdr:cNvGrpSpPr>
        </xdr:nvGrpSpPr>
        <xdr:grpSpPr bwMode="auto">
          <a:xfrm>
            <a:off x="6953250" y="29260800"/>
            <a:ext cx="790576" cy="285750"/>
            <a:chOff x="7439024" y="28575000"/>
            <a:chExt cx="790576" cy="285750"/>
          </a:xfrm>
        </xdr:grpSpPr>
        <xdr:sp macro="" textlink="">
          <xdr:nvSpPr>
            <xdr:cNvPr id="146" name="Rectangle 77">
              <a:extLst>
                <a:ext uri="{FF2B5EF4-FFF2-40B4-BE49-F238E27FC236}">
                  <a16:creationId xmlns:a16="http://schemas.microsoft.com/office/drawing/2014/main" id="{00000000-0008-0000-2800-000092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147" name="Rectangle 78">
              <a:extLst>
                <a:ext uri="{FF2B5EF4-FFF2-40B4-BE49-F238E27FC236}">
                  <a16:creationId xmlns:a16="http://schemas.microsoft.com/office/drawing/2014/main" id="{00000000-0008-0000-2800-000093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15</xdr:col>
      <xdr:colOff>85725</xdr:colOff>
      <xdr:row>119</xdr:row>
      <xdr:rowOff>104775</xdr:rowOff>
    </xdr:from>
    <xdr:to>
      <xdr:col>16</xdr:col>
      <xdr:colOff>76200</xdr:colOff>
      <xdr:row>121</xdr:row>
      <xdr:rowOff>152400</xdr:rowOff>
    </xdr:to>
    <xdr:sp macro="" textlink="">
      <xdr:nvSpPr>
        <xdr:cNvPr id="152" name="Rectangle 104">
          <a:extLst>
            <a:ext uri="{FF2B5EF4-FFF2-40B4-BE49-F238E27FC236}">
              <a16:creationId xmlns:a16="http://schemas.microsoft.com/office/drawing/2014/main" id="{00000000-0008-0000-2800-000098000000}"/>
            </a:ext>
          </a:extLst>
        </xdr:cNvPr>
        <xdr:cNvSpPr>
          <a:spLocks noChangeArrowheads="1"/>
        </xdr:cNvSpPr>
      </xdr:nvSpPr>
      <xdr:spPr bwMode="auto">
        <a:xfrm>
          <a:off x="5010150" y="20640675"/>
          <a:ext cx="390525" cy="390525"/>
        </a:xfrm>
        <a:prstGeom prst="rect">
          <a:avLst/>
        </a:prstGeom>
        <a:solidFill>
          <a:srgbClr val="FFFFFF"/>
        </a:solidFill>
        <a:ln w="9525" algn="ctr">
          <a:solidFill>
            <a:srgbClr val="000000"/>
          </a:solidFill>
          <a:round/>
          <a:headEnd/>
          <a:tailEnd/>
        </a:ln>
      </xdr:spPr>
    </xdr:sp>
    <xdr:clientData/>
  </xdr:twoCellAnchor>
  <xdr:twoCellAnchor>
    <xdr:from>
      <xdr:col>15</xdr:col>
      <xdr:colOff>123825</xdr:colOff>
      <xdr:row>124</xdr:row>
      <xdr:rowOff>0</xdr:rowOff>
    </xdr:from>
    <xdr:to>
      <xdr:col>16</xdr:col>
      <xdr:colOff>104775</xdr:colOff>
      <xdr:row>126</xdr:row>
      <xdr:rowOff>47625</xdr:rowOff>
    </xdr:to>
    <xdr:sp macro="" textlink="">
      <xdr:nvSpPr>
        <xdr:cNvPr id="153" name="Rectangle 105">
          <a:extLst>
            <a:ext uri="{FF2B5EF4-FFF2-40B4-BE49-F238E27FC236}">
              <a16:creationId xmlns:a16="http://schemas.microsoft.com/office/drawing/2014/main" id="{00000000-0008-0000-2800-000099000000}"/>
            </a:ext>
          </a:extLst>
        </xdr:cNvPr>
        <xdr:cNvSpPr>
          <a:spLocks noChangeArrowheads="1"/>
        </xdr:cNvSpPr>
      </xdr:nvSpPr>
      <xdr:spPr bwMode="auto">
        <a:xfrm>
          <a:off x="5048250" y="21393150"/>
          <a:ext cx="381000" cy="390525"/>
        </a:xfrm>
        <a:prstGeom prst="rect">
          <a:avLst/>
        </a:prstGeom>
        <a:solidFill>
          <a:srgbClr val="FFFFFF"/>
        </a:solidFill>
        <a:ln w="9525" algn="ctr">
          <a:solidFill>
            <a:srgbClr val="000000"/>
          </a:solidFill>
          <a:round/>
          <a:headEnd/>
          <a:tailEnd/>
        </a:ln>
      </xdr:spPr>
    </xdr:sp>
    <xdr:clientData/>
  </xdr:twoCellAnchor>
  <xdr:twoCellAnchor>
    <xdr:from>
      <xdr:col>15</xdr:col>
      <xdr:colOff>85725</xdr:colOff>
      <xdr:row>132</xdr:row>
      <xdr:rowOff>57150</xdr:rowOff>
    </xdr:from>
    <xdr:to>
      <xdr:col>16</xdr:col>
      <xdr:colOff>76200</xdr:colOff>
      <xdr:row>134</xdr:row>
      <xdr:rowOff>95250</xdr:rowOff>
    </xdr:to>
    <xdr:sp macro="" textlink="">
      <xdr:nvSpPr>
        <xdr:cNvPr id="154" name="Rectangle 107">
          <a:extLst>
            <a:ext uri="{FF2B5EF4-FFF2-40B4-BE49-F238E27FC236}">
              <a16:creationId xmlns:a16="http://schemas.microsoft.com/office/drawing/2014/main" id="{00000000-0008-0000-2800-00009A000000}"/>
            </a:ext>
          </a:extLst>
        </xdr:cNvPr>
        <xdr:cNvSpPr>
          <a:spLocks noChangeArrowheads="1"/>
        </xdr:cNvSpPr>
      </xdr:nvSpPr>
      <xdr:spPr bwMode="auto">
        <a:xfrm>
          <a:off x="5010150" y="22821900"/>
          <a:ext cx="390525" cy="381000"/>
        </a:xfrm>
        <a:prstGeom prst="rect">
          <a:avLst/>
        </a:prstGeom>
        <a:solidFill>
          <a:srgbClr val="FFFFFF"/>
        </a:solidFill>
        <a:ln w="9525" algn="ctr">
          <a:solidFill>
            <a:srgbClr val="000000"/>
          </a:solidFill>
          <a:round/>
          <a:headEnd/>
          <a:tailEnd/>
        </a:ln>
      </xdr:spPr>
    </xdr:sp>
    <xdr:clientData/>
  </xdr:twoCellAnchor>
  <xdr:twoCellAnchor>
    <xdr:from>
      <xdr:col>24</xdr:col>
      <xdr:colOff>282575</xdr:colOff>
      <xdr:row>103</xdr:row>
      <xdr:rowOff>63500</xdr:rowOff>
    </xdr:from>
    <xdr:to>
      <xdr:col>25</xdr:col>
      <xdr:colOff>301625</xdr:colOff>
      <xdr:row>104</xdr:row>
      <xdr:rowOff>111125</xdr:rowOff>
    </xdr:to>
    <xdr:sp macro="" textlink="">
      <xdr:nvSpPr>
        <xdr:cNvPr id="156" name="Rectangle 111">
          <a:extLst>
            <a:ext uri="{FF2B5EF4-FFF2-40B4-BE49-F238E27FC236}">
              <a16:creationId xmlns:a16="http://schemas.microsoft.com/office/drawing/2014/main" id="{00000000-0008-0000-2800-00009C000000}"/>
            </a:ext>
          </a:extLst>
        </xdr:cNvPr>
        <xdr:cNvSpPr>
          <a:spLocks noChangeArrowheads="1"/>
        </xdr:cNvSpPr>
      </xdr:nvSpPr>
      <xdr:spPr bwMode="auto">
        <a:xfrm>
          <a:off x="8339138" y="18081625"/>
          <a:ext cx="344487" cy="222250"/>
        </a:xfrm>
        <a:prstGeom prst="rect">
          <a:avLst/>
        </a:prstGeom>
        <a:solidFill>
          <a:srgbClr val="FFFFFF"/>
        </a:solidFill>
        <a:ln w="9525" algn="ctr">
          <a:solidFill>
            <a:srgbClr val="000000"/>
          </a:solidFill>
          <a:round/>
          <a:headEnd/>
          <a:tailEnd/>
        </a:ln>
      </xdr:spPr>
    </xdr:sp>
    <xdr:clientData/>
  </xdr:twoCellAnchor>
  <xdr:twoCellAnchor>
    <xdr:from>
      <xdr:col>22</xdr:col>
      <xdr:colOff>9525</xdr:colOff>
      <xdr:row>106</xdr:row>
      <xdr:rowOff>0</xdr:rowOff>
    </xdr:from>
    <xdr:to>
      <xdr:col>24</xdr:col>
      <xdr:colOff>38100</xdr:colOff>
      <xdr:row>107</xdr:row>
      <xdr:rowOff>76200</xdr:rowOff>
    </xdr:to>
    <xdr:grpSp>
      <xdr:nvGrpSpPr>
        <xdr:cNvPr id="157" name="Groupe 114">
          <a:extLst>
            <a:ext uri="{FF2B5EF4-FFF2-40B4-BE49-F238E27FC236}">
              <a16:creationId xmlns:a16="http://schemas.microsoft.com/office/drawing/2014/main" id="{00000000-0008-0000-2800-00009D000000}"/>
            </a:ext>
          </a:extLst>
        </xdr:cNvPr>
        <xdr:cNvGrpSpPr>
          <a:grpSpLocks/>
        </xdr:cNvGrpSpPr>
      </xdr:nvGrpSpPr>
      <xdr:grpSpPr bwMode="auto">
        <a:xfrm>
          <a:off x="7248525" y="18297525"/>
          <a:ext cx="1323975" cy="247650"/>
          <a:chOff x="4429125" y="27365325"/>
          <a:chExt cx="781050" cy="371475"/>
        </a:xfrm>
      </xdr:grpSpPr>
      <xdr:sp macro="" textlink="">
        <xdr:nvSpPr>
          <xdr:cNvPr id="158" name="Rectangle 112">
            <a:extLst>
              <a:ext uri="{FF2B5EF4-FFF2-40B4-BE49-F238E27FC236}">
                <a16:creationId xmlns:a16="http://schemas.microsoft.com/office/drawing/2014/main" id="{00000000-0008-0000-2800-00009E000000}"/>
              </a:ext>
            </a:extLst>
          </xdr:cNvPr>
          <xdr:cNvSpPr>
            <a:spLocks noChangeArrowheads="1"/>
          </xdr:cNvSpPr>
        </xdr:nvSpPr>
        <xdr:spPr bwMode="auto">
          <a:xfrm>
            <a:off x="4429125" y="27365325"/>
            <a:ext cx="400871" cy="371475"/>
          </a:xfrm>
          <a:prstGeom prst="rect">
            <a:avLst/>
          </a:prstGeom>
          <a:solidFill>
            <a:srgbClr val="FFFFFF"/>
          </a:solidFill>
          <a:ln w="9525" algn="ctr">
            <a:solidFill>
              <a:srgbClr val="000000"/>
            </a:solidFill>
            <a:round/>
            <a:headEnd/>
            <a:tailEnd/>
          </a:ln>
        </xdr:spPr>
      </xdr:sp>
      <xdr:sp macro="" textlink="">
        <xdr:nvSpPr>
          <xdr:cNvPr id="159" name="Rectangle 113">
            <a:extLst>
              <a:ext uri="{FF2B5EF4-FFF2-40B4-BE49-F238E27FC236}">
                <a16:creationId xmlns:a16="http://schemas.microsoft.com/office/drawing/2014/main" id="{00000000-0008-0000-2800-00009F0000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25</xdr:col>
      <xdr:colOff>0</xdr:colOff>
      <xdr:row>118</xdr:row>
      <xdr:rowOff>4186</xdr:rowOff>
    </xdr:from>
    <xdr:to>
      <xdr:col>26</xdr:col>
      <xdr:colOff>104775</xdr:colOff>
      <xdr:row>118</xdr:row>
      <xdr:rowOff>152399</xdr:rowOff>
    </xdr:to>
    <xdr:sp macro="" textlink="">
      <xdr:nvSpPr>
        <xdr:cNvPr id="160" name="Rectangle 115">
          <a:extLst>
            <a:ext uri="{FF2B5EF4-FFF2-40B4-BE49-F238E27FC236}">
              <a16:creationId xmlns:a16="http://schemas.microsoft.com/office/drawing/2014/main" id="{00000000-0008-0000-2800-0000A0000000}"/>
            </a:ext>
          </a:extLst>
        </xdr:cNvPr>
        <xdr:cNvSpPr>
          <a:spLocks noChangeArrowheads="1"/>
        </xdr:cNvSpPr>
      </xdr:nvSpPr>
      <xdr:spPr bwMode="auto">
        <a:xfrm>
          <a:off x="8391525" y="20368636"/>
          <a:ext cx="428625" cy="148213"/>
        </a:xfrm>
        <a:prstGeom prst="rect">
          <a:avLst/>
        </a:prstGeom>
        <a:solidFill>
          <a:srgbClr val="FFFFFF"/>
        </a:solidFill>
        <a:ln w="9525" algn="ctr">
          <a:solidFill>
            <a:srgbClr val="000000"/>
          </a:solidFill>
          <a:round/>
          <a:headEnd/>
          <a:tailEnd/>
        </a:ln>
      </xdr:spPr>
    </xdr:sp>
    <xdr:clientData/>
  </xdr:twoCellAnchor>
  <xdr:twoCellAnchor>
    <xdr:from>
      <xdr:col>24</xdr:col>
      <xdr:colOff>38100</xdr:colOff>
      <xdr:row>122</xdr:row>
      <xdr:rowOff>47625</xdr:rowOff>
    </xdr:from>
    <xdr:to>
      <xdr:col>25</xdr:col>
      <xdr:colOff>152400</xdr:colOff>
      <xdr:row>124</xdr:row>
      <xdr:rowOff>85725</xdr:rowOff>
    </xdr:to>
    <xdr:sp macro="" textlink="">
      <xdr:nvSpPr>
        <xdr:cNvPr id="161" name="Rectangle 115">
          <a:extLst>
            <a:ext uri="{FF2B5EF4-FFF2-40B4-BE49-F238E27FC236}">
              <a16:creationId xmlns:a16="http://schemas.microsoft.com/office/drawing/2014/main" id="{00000000-0008-0000-2800-0000A1000000}"/>
            </a:ext>
          </a:extLst>
        </xdr:cNvPr>
        <xdr:cNvSpPr>
          <a:spLocks noChangeArrowheads="1"/>
        </xdr:cNvSpPr>
      </xdr:nvSpPr>
      <xdr:spPr bwMode="auto">
        <a:xfrm>
          <a:off x="8105775" y="21097875"/>
          <a:ext cx="438150" cy="381000"/>
        </a:xfrm>
        <a:prstGeom prst="rect">
          <a:avLst/>
        </a:prstGeom>
        <a:solidFill>
          <a:srgbClr val="FFFFFF"/>
        </a:solidFill>
        <a:ln w="9525" algn="ctr">
          <a:solidFill>
            <a:srgbClr val="000000"/>
          </a:solidFill>
          <a:round/>
          <a:headEnd/>
          <a:tailEnd/>
        </a:ln>
      </xdr:spPr>
    </xdr:sp>
    <xdr:clientData/>
  </xdr:twoCellAnchor>
  <xdr:twoCellAnchor>
    <xdr:from>
      <xdr:col>6</xdr:col>
      <xdr:colOff>176212</xdr:colOff>
      <xdr:row>52</xdr:row>
      <xdr:rowOff>52387</xdr:rowOff>
    </xdr:from>
    <xdr:to>
      <xdr:col>7</xdr:col>
      <xdr:colOff>222250</xdr:colOff>
      <xdr:row>54</xdr:row>
      <xdr:rowOff>80962</xdr:rowOff>
    </xdr:to>
    <xdr:sp macro="" textlink="">
      <xdr:nvSpPr>
        <xdr:cNvPr id="162" name="Rectangle 160">
          <a:extLst>
            <a:ext uri="{FF2B5EF4-FFF2-40B4-BE49-F238E27FC236}">
              <a16:creationId xmlns:a16="http://schemas.microsoft.com/office/drawing/2014/main" id="{00000000-0008-0000-2800-0000A2000000}"/>
            </a:ext>
          </a:extLst>
        </xdr:cNvPr>
        <xdr:cNvSpPr>
          <a:spLocks noChangeArrowheads="1"/>
        </xdr:cNvSpPr>
      </xdr:nvSpPr>
      <xdr:spPr bwMode="auto">
        <a:xfrm>
          <a:off x="1962150" y="9180512"/>
          <a:ext cx="379413" cy="377825"/>
        </a:xfrm>
        <a:prstGeom prst="rect">
          <a:avLst/>
        </a:prstGeom>
        <a:solidFill>
          <a:srgbClr val="FFFFFF"/>
        </a:solidFill>
        <a:ln w="9525" algn="ctr">
          <a:solidFill>
            <a:srgbClr val="000000"/>
          </a:solidFill>
          <a:round/>
          <a:headEnd/>
          <a:tailEnd/>
        </a:ln>
      </xdr:spPr>
    </xdr:sp>
    <xdr:clientData/>
  </xdr:twoCellAnchor>
  <xdr:twoCellAnchor>
    <xdr:from>
      <xdr:col>7</xdr:col>
      <xdr:colOff>171450</xdr:colOff>
      <xdr:row>116</xdr:row>
      <xdr:rowOff>4763</xdr:rowOff>
    </xdr:from>
    <xdr:to>
      <xdr:col>8</xdr:col>
      <xdr:colOff>112712</xdr:colOff>
      <xdr:row>118</xdr:row>
      <xdr:rowOff>55563</xdr:rowOff>
    </xdr:to>
    <xdr:sp macro="" textlink="">
      <xdr:nvSpPr>
        <xdr:cNvPr id="163" name="Rectangle 160">
          <a:extLst>
            <a:ext uri="{FF2B5EF4-FFF2-40B4-BE49-F238E27FC236}">
              <a16:creationId xmlns:a16="http://schemas.microsoft.com/office/drawing/2014/main" id="{00000000-0008-0000-2800-0000A3000000}"/>
            </a:ext>
          </a:extLst>
        </xdr:cNvPr>
        <xdr:cNvSpPr>
          <a:spLocks noChangeArrowheads="1"/>
        </xdr:cNvSpPr>
      </xdr:nvSpPr>
      <xdr:spPr bwMode="auto">
        <a:xfrm>
          <a:off x="2290763" y="20293013"/>
          <a:ext cx="354012" cy="400050"/>
        </a:xfrm>
        <a:prstGeom prst="rect">
          <a:avLst/>
        </a:prstGeom>
        <a:solidFill>
          <a:srgbClr val="FFFFFF"/>
        </a:solidFill>
        <a:ln w="9525" algn="ctr">
          <a:solidFill>
            <a:srgbClr val="000000"/>
          </a:solidFill>
          <a:round/>
          <a:headEnd/>
          <a:tailEnd/>
        </a:ln>
      </xdr:spPr>
    </xdr:sp>
    <xdr:clientData/>
  </xdr:twoCellAnchor>
  <xdr:twoCellAnchor>
    <xdr:from>
      <xdr:col>7</xdr:col>
      <xdr:colOff>228600</xdr:colOff>
      <xdr:row>131</xdr:row>
      <xdr:rowOff>161925</xdr:rowOff>
    </xdr:from>
    <xdr:to>
      <xdr:col>8</xdr:col>
      <xdr:colOff>209550</xdr:colOff>
      <xdr:row>133</xdr:row>
      <xdr:rowOff>123825</xdr:rowOff>
    </xdr:to>
    <xdr:sp macro="" textlink="">
      <xdr:nvSpPr>
        <xdr:cNvPr id="164" name="Rectangle 160">
          <a:extLst>
            <a:ext uri="{FF2B5EF4-FFF2-40B4-BE49-F238E27FC236}">
              <a16:creationId xmlns:a16="http://schemas.microsoft.com/office/drawing/2014/main" id="{00000000-0008-0000-2800-0000A4000000}"/>
            </a:ext>
          </a:extLst>
        </xdr:cNvPr>
        <xdr:cNvSpPr>
          <a:spLocks noChangeArrowheads="1"/>
        </xdr:cNvSpPr>
      </xdr:nvSpPr>
      <xdr:spPr bwMode="auto">
        <a:xfrm>
          <a:off x="2352675" y="22755225"/>
          <a:ext cx="390525" cy="304800"/>
        </a:xfrm>
        <a:prstGeom prst="rect">
          <a:avLst/>
        </a:prstGeom>
        <a:solidFill>
          <a:srgbClr val="FFFFFF"/>
        </a:solidFill>
        <a:ln w="9525" algn="ctr">
          <a:solidFill>
            <a:srgbClr val="000000"/>
          </a:solidFill>
          <a:round/>
          <a:headEnd/>
          <a:tailEnd/>
        </a:ln>
      </xdr:spPr>
    </xdr:sp>
    <xdr:clientData/>
  </xdr:twoCellAnchor>
  <xdr:twoCellAnchor>
    <xdr:from>
      <xdr:col>13</xdr:col>
      <xdr:colOff>266700</xdr:colOff>
      <xdr:row>114</xdr:row>
      <xdr:rowOff>133350</xdr:rowOff>
    </xdr:from>
    <xdr:to>
      <xdr:col>14</xdr:col>
      <xdr:colOff>304800</xdr:colOff>
      <xdr:row>117</xdr:row>
      <xdr:rowOff>0</xdr:rowOff>
    </xdr:to>
    <xdr:sp macro="" textlink="">
      <xdr:nvSpPr>
        <xdr:cNvPr id="165" name="Rectangle 160">
          <a:extLst>
            <a:ext uri="{FF2B5EF4-FFF2-40B4-BE49-F238E27FC236}">
              <a16:creationId xmlns:a16="http://schemas.microsoft.com/office/drawing/2014/main" id="{00000000-0008-0000-2800-0000A5000000}"/>
            </a:ext>
          </a:extLst>
        </xdr:cNvPr>
        <xdr:cNvSpPr>
          <a:spLocks noChangeArrowheads="1"/>
        </xdr:cNvSpPr>
      </xdr:nvSpPr>
      <xdr:spPr bwMode="auto">
        <a:xfrm>
          <a:off x="4429125" y="19812000"/>
          <a:ext cx="400050" cy="381000"/>
        </a:xfrm>
        <a:prstGeom prst="rect">
          <a:avLst/>
        </a:prstGeom>
        <a:solidFill>
          <a:srgbClr val="FFFFFF"/>
        </a:solidFill>
        <a:ln w="9525" algn="ctr">
          <a:solidFill>
            <a:srgbClr val="000000"/>
          </a:solidFill>
          <a:round/>
          <a:headEnd/>
          <a:tailEnd/>
        </a:ln>
      </xdr:spPr>
    </xdr:sp>
    <xdr:clientData/>
  </xdr:twoCellAnchor>
  <xdr:twoCellAnchor>
    <xdr:from>
      <xdr:col>22</xdr:col>
      <xdr:colOff>390525</xdr:colOff>
      <xdr:row>111</xdr:row>
      <xdr:rowOff>57150</xdr:rowOff>
    </xdr:from>
    <xdr:to>
      <xdr:col>24</xdr:col>
      <xdr:colOff>38100</xdr:colOff>
      <xdr:row>113</xdr:row>
      <xdr:rowOff>114300</xdr:rowOff>
    </xdr:to>
    <xdr:sp macro="" textlink="">
      <xdr:nvSpPr>
        <xdr:cNvPr id="166" name="Rectangle 115">
          <a:extLst>
            <a:ext uri="{FF2B5EF4-FFF2-40B4-BE49-F238E27FC236}">
              <a16:creationId xmlns:a16="http://schemas.microsoft.com/office/drawing/2014/main" id="{00000000-0008-0000-2800-0000A6000000}"/>
            </a:ext>
          </a:extLst>
        </xdr:cNvPr>
        <xdr:cNvSpPr>
          <a:spLocks noChangeArrowheads="1"/>
        </xdr:cNvSpPr>
      </xdr:nvSpPr>
      <xdr:spPr bwMode="auto">
        <a:xfrm>
          <a:off x="7581900" y="19221450"/>
          <a:ext cx="523875" cy="400050"/>
        </a:xfrm>
        <a:prstGeom prst="rect">
          <a:avLst/>
        </a:prstGeom>
        <a:solidFill>
          <a:srgbClr val="FFFFFF"/>
        </a:solidFill>
        <a:ln w="9525" algn="ctr">
          <a:solidFill>
            <a:srgbClr val="000000"/>
          </a:solidFill>
          <a:round/>
          <a:headEnd/>
          <a:tailEnd/>
        </a:ln>
      </xdr:spPr>
    </xdr:sp>
    <xdr:clientData/>
  </xdr:twoCellAnchor>
  <xdr:twoCellAnchor>
    <xdr:from>
      <xdr:col>26</xdr:col>
      <xdr:colOff>19050</xdr:colOff>
      <xdr:row>131</xdr:row>
      <xdr:rowOff>66675</xdr:rowOff>
    </xdr:from>
    <xdr:to>
      <xdr:col>26</xdr:col>
      <xdr:colOff>392113</xdr:colOff>
      <xdr:row>133</xdr:row>
      <xdr:rowOff>117475</xdr:rowOff>
    </xdr:to>
    <xdr:sp macro="" textlink="">
      <xdr:nvSpPr>
        <xdr:cNvPr id="167" name="Rectangle 115">
          <a:extLst>
            <a:ext uri="{FF2B5EF4-FFF2-40B4-BE49-F238E27FC236}">
              <a16:creationId xmlns:a16="http://schemas.microsoft.com/office/drawing/2014/main" id="{00000000-0008-0000-2800-0000A7000000}"/>
            </a:ext>
          </a:extLst>
        </xdr:cNvPr>
        <xdr:cNvSpPr>
          <a:spLocks noChangeArrowheads="1"/>
        </xdr:cNvSpPr>
      </xdr:nvSpPr>
      <xdr:spPr bwMode="auto">
        <a:xfrm>
          <a:off x="8956675" y="22974300"/>
          <a:ext cx="373063" cy="400050"/>
        </a:xfrm>
        <a:prstGeom prst="rect">
          <a:avLst/>
        </a:prstGeom>
        <a:solidFill>
          <a:srgbClr val="FFFFFF"/>
        </a:solidFill>
        <a:ln w="9525" algn="ctr">
          <a:solidFill>
            <a:srgbClr val="000000"/>
          </a:solidFill>
          <a:round/>
          <a:headEnd/>
          <a:tailEnd/>
        </a:ln>
      </xdr:spPr>
    </xdr:sp>
    <xdr:clientData/>
  </xdr:twoCellAnchor>
  <xdr:twoCellAnchor>
    <xdr:from>
      <xdr:col>14</xdr:col>
      <xdr:colOff>141287</xdr:colOff>
      <xdr:row>6</xdr:row>
      <xdr:rowOff>26988</xdr:rowOff>
    </xdr:from>
    <xdr:to>
      <xdr:col>15</xdr:col>
      <xdr:colOff>241829</xdr:colOff>
      <xdr:row>7</xdr:row>
      <xdr:rowOff>158221</xdr:rowOff>
    </xdr:to>
    <xdr:sp macro="" textlink="">
      <xdr:nvSpPr>
        <xdr:cNvPr id="168" name="Rectangle 257">
          <a:extLst>
            <a:ext uri="{FF2B5EF4-FFF2-40B4-BE49-F238E27FC236}">
              <a16:creationId xmlns:a16="http://schemas.microsoft.com/office/drawing/2014/main" id="{00000000-0008-0000-2800-0000A8000000}"/>
            </a:ext>
          </a:extLst>
        </xdr:cNvPr>
        <xdr:cNvSpPr>
          <a:spLocks noChangeArrowheads="1"/>
        </xdr:cNvSpPr>
      </xdr:nvSpPr>
      <xdr:spPr bwMode="auto">
        <a:xfrm>
          <a:off x="4718579" y="1074738"/>
          <a:ext cx="502708" cy="300566"/>
        </a:xfrm>
        <a:prstGeom prst="rect">
          <a:avLst/>
        </a:prstGeom>
        <a:solidFill>
          <a:srgbClr val="FFFFFF"/>
        </a:solidFill>
        <a:ln w="9525" algn="ctr">
          <a:solidFill>
            <a:srgbClr val="000000"/>
          </a:solidFill>
          <a:round/>
          <a:headEnd/>
          <a:tailEnd/>
        </a:ln>
      </xdr:spPr>
    </xdr:sp>
    <xdr:clientData/>
  </xdr:twoCellAnchor>
  <xdr:twoCellAnchor>
    <xdr:from>
      <xdr:col>15</xdr:col>
      <xdr:colOff>142875</xdr:colOff>
      <xdr:row>27</xdr:row>
      <xdr:rowOff>152400</xdr:rowOff>
    </xdr:from>
    <xdr:to>
      <xdr:col>16</xdr:col>
      <xdr:colOff>209550</xdr:colOff>
      <xdr:row>30</xdr:row>
      <xdr:rowOff>47625</xdr:rowOff>
    </xdr:to>
    <xdr:sp macro="" textlink="">
      <xdr:nvSpPr>
        <xdr:cNvPr id="169" name="Rectangle 214">
          <a:extLst>
            <a:ext uri="{FF2B5EF4-FFF2-40B4-BE49-F238E27FC236}">
              <a16:creationId xmlns:a16="http://schemas.microsoft.com/office/drawing/2014/main" id="{00000000-0008-0000-2800-0000A9000000}"/>
            </a:ext>
            <a:ext uri="{147F2762-F138-4A5C-976F-8EAC2B608ADB}">
              <a16:predDERef xmlns:a16="http://schemas.microsoft.com/office/drawing/2014/main" pred="{5F3A6232-C3A7-4148-B945-10E67C3168CD}"/>
            </a:ext>
          </a:extLst>
        </xdr:cNvPr>
        <xdr:cNvSpPr>
          <a:spLocks noChangeArrowheads="1"/>
        </xdr:cNvSpPr>
      </xdr:nvSpPr>
      <xdr:spPr bwMode="auto">
        <a:xfrm>
          <a:off x="5067300" y="4733925"/>
          <a:ext cx="466725" cy="409575"/>
        </a:xfrm>
        <a:prstGeom prst="rect">
          <a:avLst/>
        </a:prstGeom>
        <a:solidFill>
          <a:srgbClr val="FFFFFF"/>
        </a:solidFill>
        <a:ln w="9525" algn="ctr">
          <a:solidFill>
            <a:srgbClr val="000000"/>
          </a:solidFill>
          <a:round/>
          <a:headEnd/>
          <a:tailEnd/>
        </a:ln>
      </xdr:spPr>
    </xdr:sp>
    <xdr:clientData/>
  </xdr:twoCellAnchor>
  <xdr:twoCellAnchor>
    <xdr:from>
      <xdr:col>16</xdr:col>
      <xdr:colOff>123825</xdr:colOff>
      <xdr:row>35</xdr:row>
      <xdr:rowOff>19050</xdr:rowOff>
    </xdr:from>
    <xdr:to>
      <xdr:col>17</xdr:col>
      <xdr:colOff>133350</xdr:colOff>
      <xdr:row>36</xdr:row>
      <xdr:rowOff>276225</xdr:rowOff>
    </xdr:to>
    <xdr:sp macro="" textlink="">
      <xdr:nvSpPr>
        <xdr:cNvPr id="170" name="Rectangle 214">
          <a:extLst>
            <a:ext uri="{FF2B5EF4-FFF2-40B4-BE49-F238E27FC236}">
              <a16:creationId xmlns:a16="http://schemas.microsoft.com/office/drawing/2014/main" id="{00000000-0008-0000-2800-0000AA000000}"/>
            </a:ext>
          </a:extLst>
        </xdr:cNvPr>
        <xdr:cNvSpPr>
          <a:spLocks noChangeArrowheads="1"/>
        </xdr:cNvSpPr>
      </xdr:nvSpPr>
      <xdr:spPr bwMode="auto">
        <a:xfrm>
          <a:off x="5434013" y="5995988"/>
          <a:ext cx="374650" cy="415925"/>
        </a:xfrm>
        <a:prstGeom prst="rect">
          <a:avLst/>
        </a:prstGeom>
        <a:solidFill>
          <a:srgbClr val="FFFFFF"/>
        </a:solidFill>
        <a:ln w="9525" algn="ctr">
          <a:solidFill>
            <a:srgbClr val="000000"/>
          </a:solidFill>
          <a:round/>
          <a:headEnd/>
          <a:tailEnd/>
        </a:ln>
      </xdr:spPr>
    </xdr:sp>
    <xdr:clientData/>
  </xdr:twoCellAnchor>
  <xdr:twoCellAnchor>
    <xdr:from>
      <xdr:col>16</xdr:col>
      <xdr:colOff>304800</xdr:colOff>
      <xdr:row>41</xdr:row>
      <xdr:rowOff>0</xdr:rowOff>
    </xdr:from>
    <xdr:to>
      <xdr:col>17</xdr:col>
      <xdr:colOff>333375</xdr:colOff>
      <xdr:row>43</xdr:row>
      <xdr:rowOff>66675</xdr:rowOff>
    </xdr:to>
    <xdr:sp macro="" textlink="">
      <xdr:nvSpPr>
        <xdr:cNvPr id="171" name="Rectangle 214">
          <a:extLst>
            <a:ext uri="{FF2B5EF4-FFF2-40B4-BE49-F238E27FC236}">
              <a16:creationId xmlns:a16="http://schemas.microsoft.com/office/drawing/2014/main" id="{00000000-0008-0000-2800-0000AB000000}"/>
            </a:ext>
          </a:extLst>
        </xdr:cNvPr>
        <xdr:cNvSpPr>
          <a:spLocks noChangeArrowheads="1"/>
        </xdr:cNvSpPr>
      </xdr:nvSpPr>
      <xdr:spPr bwMode="auto">
        <a:xfrm>
          <a:off x="5629275" y="7162800"/>
          <a:ext cx="390525" cy="409575"/>
        </a:xfrm>
        <a:prstGeom prst="rect">
          <a:avLst/>
        </a:prstGeom>
        <a:solidFill>
          <a:srgbClr val="FFFFFF"/>
        </a:solidFill>
        <a:ln w="9525" algn="ctr">
          <a:solidFill>
            <a:srgbClr val="000000"/>
          </a:solidFill>
          <a:round/>
          <a:headEnd/>
          <a:tailEnd/>
        </a:ln>
      </xdr:spPr>
    </xdr:sp>
    <xdr:clientData/>
  </xdr:twoCellAnchor>
  <xdr:twoCellAnchor>
    <xdr:from>
      <xdr:col>14</xdr:col>
      <xdr:colOff>188912</xdr:colOff>
      <xdr:row>22</xdr:row>
      <xdr:rowOff>68262</xdr:rowOff>
    </xdr:from>
    <xdr:to>
      <xdr:col>15</xdr:col>
      <xdr:colOff>176212</xdr:colOff>
      <xdr:row>24</xdr:row>
      <xdr:rowOff>134937</xdr:rowOff>
    </xdr:to>
    <xdr:sp macro="" textlink="">
      <xdr:nvSpPr>
        <xdr:cNvPr id="172" name="Rectangle 214">
          <a:extLst>
            <a:ext uri="{FF2B5EF4-FFF2-40B4-BE49-F238E27FC236}">
              <a16:creationId xmlns:a16="http://schemas.microsoft.com/office/drawing/2014/main" id="{00000000-0008-0000-2800-0000AC000000}"/>
            </a:ext>
            <a:ext uri="{147F2762-F138-4A5C-976F-8EAC2B608ADB}">
              <a16:predDERef xmlns:a16="http://schemas.microsoft.com/office/drawing/2014/main" pred="{027180D2-7305-4F9E-B1D1-EF656035800E}"/>
            </a:ext>
          </a:extLst>
        </xdr:cNvPr>
        <xdr:cNvSpPr>
          <a:spLocks noChangeArrowheads="1"/>
        </xdr:cNvSpPr>
      </xdr:nvSpPr>
      <xdr:spPr bwMode="auto">
        <a:xfrm>
          <a:off x="4705350" y="3790950"/>
          <a:ext cx="384175" cy="415925"/>
        </a:xfrm>
        <a:prstGeom prst="rect">
          <a:avLst/>
        </a:prstGeom>
        <a:solidFill>
          <a:srgbClr val="FFFFFF"/>
        </a:solidFill>
        <a:ln w="9525" algn="ctr">
          <a:solidFill>
            <a:srgbClr val="000000"/>
          </a:solidFill>
          <a:round/>
          <a:headEnd/>
          <a:tailEnd/>
        </a:ln>
      </xdr:spPr>
    </xdr:sp>
    <xdr:clientData/>
  </xdr:twoCellAnchor>
  <xdr:twoCellAnchor>
    <xdr:from>
      <xdr:col>16</xdr:col>
      <xdr:colOff>84666</xdr:colOff>
      <xdr:row>18</xdr:row>
      <xdr:rowOff>111126</xdr:rowOff>
    </xdr:from>
    <xdr:to>
      <xdr:col>17</xdr:col>
      <xdr:colOff>359834</xdr:colOff>
      <xdr:row>19</xdr:row>
      <xdr:rowOff>135996</xdr:rowOff>
    </xdr:to>
    <xdr:grpSp>
      <xdr:nvGrpSpPr>
        <xdr:cNvPr id="173" name="Groupe 3">
          <a:extLst>
            <a:ext uri="{FF2B5EF4-FFF2-40B4-BE49-F238E27FC236}">
              <a16:creationId xmlns:a16="http://schemas.microsoft.com/office/drawing/2014/main" id="{00000000-0008-0000-2800-0000AD000000}"/>
            </a:ext>
          </a:extLst>
        </xdr:cNvPr>
        <xdr:cNvGrpSpPr>
          <a:grpSpLocks/>
        </xdr:cNvGrpSpPr>
      </xdr:nvGrpSpPr>
      <xdr:grpSpPr bwMode="auto">
        <a:xfrm>
          <a:off x="5456766" y="3149601"/>
          <a:ext cx="637118" cy="196320"/>
          <a:chOff x="7343775" y="238125"/>
          <a:chExt cx="600075" cy="314325"/>
        </a:xfrm>
      </xdr:grpSpPr>
      <xdr:sp macro="" textlink="">
        <xdr:nvSpPr>
          <xdr:cNvPr id="174" name="Rectangle 1">
            <a:extLst>
              <a:ext uri="{FF2B5EF4-FFF2-40B4-BE49-F238E27FC236}">
                <a16:creationId xmlns:a16="http://schemas.microsoft.com/office/drawing/2014/main" id="{00000000-0008-0000-2800-0000AE000000}"/>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175" name="Rectangle 2">
            <a:extLst>
              <a:ext uri="{FF2B5EF4-FFF2-40B4-BE49-F238E27FC236}">
                <a16:creationId xmlns:a16="http://schemas.microsoft.com/office/drawing/2014/main" id="{00000000-0008-0000-2800-0000AF000000}"/>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16</xdr:col>
      <xdr:colOff>76730</xdr:colOff>
      <xdr:row>19</xdr:row>
      <xdr:rowOff>137584</xdr:rowOff>
    </xdr:from>
    <xdr:to>
      <xdr:col>17</xdr:col>
      <xdr:colOff>354543</xdr:colOff>
      <xdr:row>20</xdr:row>
      <xdr:rowOff>161396</xdr:rowOff>
    </xdr:to>
    <xdr:grpSp>
      <xdr:nvGrpSpPr>
        <xdr:cNvPr id="176" name="Groupe 3">
          <a:extLst>
            <a:ext uri="{FF2B5EF4-FFF2-40B4-BE49-F238E27FC236}">
              <a16:creationId xmlns:a16="http://schemas.microsoft.com/office/drawing/2014/main" id="{00000000-0008-0000-2800-0000B0000000}"/>
            </a:ext>
          </a:extLst>
        </xdr:cNvPr>
        <xdr:cNvGrpSpPr>
          <a:grpSpLocks/>
        </xdr:cNvGrpSpPr>
      </xdr:nvGrpSpPr>
      <xdr:grpSpPr bwMode="auto">
        <a:xfrm>
          <a:off x="5448830" y="3347509"/>
          <a:ext cx="639763" cy="195262"/>
          <a:chOff x="7343775" y="238125"/>
          <a:chExt cx="600075" cy="314325"/>
        </a:xfrm>
      </xdr:grpSpPr>
      <xdr:sp macro="" textlink="">
        <xdr:nvSpPr>
          <xdr:cNvPr id="177" name="Rectangle 1">
            <a:extLst>
              <a:ext uri="{FF2B5EF4-FFF2-40B4-BE49-F238E27FC236}">
                <a16:creationId xmlns:a16="http://schemas.microsoft.com/office/drawing/2014/main" id="{00000000-0008-0000-2800-0000B1000000}"/>
              </a:ext>
            </a:extLst>
          </xdr:cNvPr>
          <xdr:cNvSpPr>
            <a:spLocks noChangeArrowheads="1"/>
          </xdr:cNvSpPr>
        </xdr:nvSpPr>
        <xdr:spPr bwMode="auto">
          <a:xfrm>
            <a:off x="7343775" y="238125"/>
            <a:ext cx="285750" cy="314325"/>
          </a:xfrm>
          <a:prstGeom prst="rect">
            <a:avLst/>
          </a:prstGeom>
          <a:solidFill>
            <a:srgbClr val="FFFFFF"/>
          </a:solidFill>
          <a:ln w="9525" algn="ctr">
            <a:solidFill>
              <a:srgbClr val="000000"/>
            </a:solidFill>
            <a:round/>
            <a:headEnd/>
            <a:tailEnd/>
          </a:ln>
        </xdr:spPr>
      </xdr:sp>
      <xdr:sp macro="" textlink="">
        <xdr:nvSpPr>
          <xdr:cNvPr id="178" name="Rectangle 2">
            <a:extLst>
              <a:ext uri="{FF2B5EF4-FFF2-40B4-BE49-F238E27FC236}">
                <a16:creationId xmlns:a16="http://schemas.microsoft.com/office/drawing/2014/main" id="{00000000-0008-0000-2800-0000B2000000}"/>
              </a:ext>
            </a:extLst>
          </xdr:cNvPr>
          <xdr:cNvSpPr>
            <a:spLocks noChangeArrowheads="1"/>
          </xdr:cNvSpPr>
        </xdr:nvSpPr>
        <xdr:spPr bwMode="auto">
          <a:xfrm>
            <a:off x="7658100" y="238125"/>
            <a:ext cx="285750" cy="314325"/>
          </a:xfrm>
          <a:prstGeom prst="rect">
            <a:avLst/>
          </a:prstGeom>
          <a:solidFill>
            <a:srgbClr val="FFFFFF"/>
          </a:solidFill>
          <a:ln w="9525" algn="ctr">
            <a:solidFill>
              <a:srgbClr val="000000"/>
            </a:solidFill>
            <a:round/>
            <a:headEnd/>
            <a:tailEnd/>
          </a:ln>
        </xdr:spPr>
      </xdr:sp>
    </xdr:grpSp>
    <xdr:clientData/>
  </xdr:twoCellAnchor>
  <xdr:twoCellAnchor>
    <xdr:from>
      <xdr:col>23</xdr:col>
      <xdr:colOff>19050</xdr:colOff>
      <xdr:row>14</xdr:row>
      <xdr:rowOff>141288</xdr:rowOff>
    </xdr:from>
    <xdr:to>
      <xdr:col>23</xdr:col>
      <xdr:colOff>352425</xdr:colOff>
      <xdr:row>16</xdr:row>
      <xdr:rowOff>80963</xdr:rowOff>
    </xdr:to>
    <xdr:sp macro="" textlink="">
      <xdr:nvSpPr>
        <xdr:cNvPr id="179" name="Rectangle 216">
          <a:extLst>
            <a:ext uri="{FF2B5EF4-FFF2-40B4-BE49-F238E27FC236}">
              <a16:creationId xmlns:a16="http://schemas.microsoft.com/office/drawing/2014/main" id="{00000000-0008-0000-2800-0000B3000000}"/>
            </a:ext>
          </a:extLst>
        </xdr:cNvPr>
        <xdr:cNvSpPr>
          <a:spLocks noChangeArrowheads="1"/>
        </xdr:cNvSpPr>
      </xdr:nvSpPr>
      <xdr:spPr bwMode="auto">
        <a:xfrm>
          <a:off x="7908925" y="2514601"/>
          <a:ext cx="333375" cy="273050"/>
        </a:xfrm>
        <a:prstGeom prst="rect">
          <a:avLst/>
        </a:prstGeom>
        <a:solidFill>
          <a:srgbClr val="FFFFFF"/>
        </a:solidFill>
        <a:ln w="9525" algn="ctr">
          <a:solidFill>
            <a:srgbClr val="000000"/>
          </a:solidFill>
          <a:round/>
          <a:headEnd/>
          <a:tailEnd/>
        </a:ln>
      </xdr:spPr>
    </xdr:sp>
    <xdr:clientData/>
  </xdr:twoCellAnchor>
  <xdr:twoCellAnchor>
    <xdr:from>
      <xdr:col>25</xdr:col>
      <xdr:colOff>104775</xdr:colOff>
      <xdr:row>58</xdr:row>
      <xdr:rowOff>171450</xdr:rowOff>
    </xdr:from>
    <xdr:to>
      <xdr:col>26</xdr:col>
      <xdr:colOff>219075</xdr:colOff>
      <xdr:row>60</xdr:row>
      <xdr:rowOff>114300</xdr:rowOff>
    </xdr:to>
    <xdr:sp macro="" textlink="">
      <xdr:nvSpPr>
        <xdr:cNvPr id="180" name="Rectangle 166">
          <a:extLst>
            <a:ext uri="{FF2B5EF4-FFF2-40B4-BE49-F238E27FC236}">
              <a16:creationId xmlns:a16="http://schemas.microsoft.com/office/drawing/2014/main" id="{00000000-0008-0000-2800-0000B4000000}"/>
            </a:ext>
          </a:extLst>
        </xdr:cNvPr>
        <xdr:cNvSpPr>
          <a:spLocks noChangeArrowheads="1"/>
        </xdr:cNvSpPr>
      </xdr:nvSpPr>
      <xdr:spPr bwMode="auto">
        <a:xfrm>
          <a:off x="8496300" y="10248900"/>
          <a:ext cx="438150" cy="285750"/>
        </a:xfrm>
        <a:prstGeom prst="rect">
          <a:avLst/>
        </a:prstGeom>
        <a:solidFill>
          <a:srgbClr val="FFFFFF"/>
        </a:solidFill>
        <a:ln w="9525" algn="ctr">
          <a:solidFill>
            <a:srgbClr val="000000"/>
          </a:solidFill>
          <a:round/>
          <a:headEnd/>
          <a:tailEnd/>
        </a:ln>
      </xdr:spPr>
    </xdr:sp>
    <xdr:clientData/>
  </xdr:twoCellAnchor>
  <xdr:twoCellAnchor>
    <xdr:from>
      <xdr:col>0</xdr:col>
      <xdr:colOff>200025</xdr:colOff>
      <xdr:row>32</xdr:row>
      <xdr:rowOff>95250</xdr:rowOff>
    </xdr:from>
    <xdr:to>
      <xdr:col>8</xdr:col>
      <xdr:colOff>304800</xdr:colOff>
      <xdr:row>34</xdr:row>
      <xdr:rowOff>57150</xdr:rowOff>
    </xdr:to>
    <xdr:grpSp>
      <xdr:nvGrpSpPr>
        <xdr:cNvPr id="181" name="Groupe 244">
          <a:extLst>
            <a:ext uri="{FF2B5EF4-FFF2-40B4-BE49-F238E27FC236}">
              <a16:creationId xmlns:a16="http://schemas.microsoft.com/office/drawing/2014/main" id="{00000000-0008-0000-2800-0000B5000000}"/>
            </a:ext>
          </a:extLst>
        </xdr:cNvPr>
        <xdr:cNvGrpSpPr>
          <a:grpSpLocks/>
        </xdr:cNvGrpSpPr>
      </xdr:nvGrpSpPr>
      <xdr:grpSpPr bwMode="auto">
        <a:xfrm>
          <a:off x="200025" y="5524500"/>
          <a:ext cx="2686050" cy="304800"/>
          <a:chOff x="7010400" y="9553575"/>
          <a:chExt cx="2886076" cy="285751"/>
        </a:xfrm>
      </xdr:grpSpPr>
      <xdr:grpSp>
        <xdr:nvGrpSpPr>
          <xdr:cNvPr id="182" name="Groupe 188">
            <a:extLst>
              <a:ext uri="{FF2B5EF4-FFF2-40B4-BE49-F238E27FC236}">
                <a16:creationId xmlns:a16="http://schemas.microsoft.com/office/drawing/2014/main" id="{00000000-0008-0000-2800-0000B6000000}"/>
              </a:ext>
            </a:extLst>
          </xdr:cNvPr>
          <xdr:cNvGrpSpPr>
            <a:grpSpLocks/>
          </xdr:cNvGrpSpPr>
        </xdr:nvGrpSpPr>
        <xdr:grpSpPr bwMode="auto">
          <a:xfrm>
            <a:off x="7448550" y="9553575"/>
            <a:ext cx="2447926" cy="285750"/>
            <a:chOff x="5295900" y="29260800"/>
            <a:chExt cx="2447926" cy="285750"/>
          </a:xfrm>
        </xdr:grpSpPr>
        <xdr:grpSp>
          <xdr:nvGrpSpPr>
            <xdr:cNvPr id="184" name="Groupe 24">
              <a:extLst>
                <a:ext uri="{FF2B5EF4-FFF2-40B4-BE49-F238E27FC236}">
                  <a16:creationId xmlns:a16="http://schemas.microsoft.com/office/drawing/2014/main" id="{00000000-0008-0000-2800-0000B8000000}"/>
                </a:ext>
              </a:extLst>
            </xdr:cNvPr>
            <xdr:cNvGrpSpPr>
              <a:grpSpLocks/>
            </xdr:cNvGrpSpPr>
          </xdr:nvGrpSpPr>
          <xdr:grpSpPr bwMode="auto">
            <a:xfrm>
              <a:off x="6124574" y="29260800"/>
              <a:ext cx="790576" cy="285750"/>
              <a:chOff x="7439024" y="28575000"/>
              <a:chExt cx="790576" cy="285750"/>
            </a:xfrm>
          </xdr:grpSpPr>
          <xdr:sp macro="" textlink="">
            <xdr:nvSpPr>
              <xdr:cNvPr id="191" name="Rectangle 254">
                <a:extLst>
                  <a:ext uri="{FF2B5EF4-FFF2-40B4-BE49-F238E27FC236}">
                    <a16:creationId xmlns:a16="http://schemas.microsoft.com/office/drawing/2014/main" id="{00000000-0008-0000-2800-0000BF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192" name="Rectangle 255">
                <a:extLst>
                  <a:ext uri="{FF2B5EF4-FFF2-40B4-BE49-F238E27FC236}">
                    <a16:creationId xmlns:a16="http://schemas.microsoft.com/office/drawing/2014/main" id="{00000000-0008-0000-2800-0000C0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185" name="Groupe 25">
              <a:extLst>
                <a:ext uri="{FF2B5EF4-FFF2-40B4-BE49-F238E27FC236}">
                  <a16:creationId xmlns:a16="http://schemas.microsoft.com/office/drawing/2014/main" id="{00000000-0008-0000-2800-0000B9000000}"/>
                </a:ext>
              </a:extLst>
            </xdr:cNvPr>
            <xdr:cNvGrpSpPr>
              <a:grpSpLocks/>
            </xdr:cNvGrpSpPr>
          </xdr:nvGrpSpPr>
          <xdr:grpSpPr bwMode="auto">
            <a:xfrm>
              <a:off x="5295900" y="29260800"/>
              <a:ext cx="790576" cy="285750"/>
              <a:chOff x="7439024" y="28575000"/>
              <a:chExt cx="790576" cy="285750"/>
            </a:xfrm>
          </xdr:grpSpPr>
          <xdr:sp macro="" textlink="">
            <xdr:nvSpPr>
              <xdr:cNvPr id="189" name="Rectangle 252">
                <a:extLst>
                  <a:ext uri="{FF2B5EF4-FFF2-40B4-BE49-F238E27FC236}">
                    <a16:creationId xmlns:a16="http://schemas.microsoft.com/office/drawing/2014/main" id="{00000000-0008-0000-2800-0000BD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190" name="Rectangle 253">
                <a:extLst>
                  <a:ext uri="{FF2B5EF4-FFF2-40B4-BE49-F238E27FC236}">
                    <a16:creationId xmlns:a16="http://schemas.microsoft.com/office/drawing/2014/main" id="{00000000-0008-0000-2800-0000BE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186" name="Groupe 28">
              <a:extLst>
                <a:ext uri="{FF2B5EF4-FFF2-40B4-BE49-F238E27FC236}">
                  <a16:creationId xmlns:a16="http://schemas.microsoft.com/office/drawing/2014/main" id="{00000000-0008-0000-2800-0000BA000000}"/>
                </a:ext>
              </a:extLst>
            </xdr:cNvPr>
            <xdr:cNvGrpSpPr>
              <a:grpSpLocks/>
            </xdr:cNvGrpSpPr>
          </xdr:nvGrpSpPr>
          <xdr:grpSpPr bwMode="auto">
            <a:xfrm>
              <a:off x="6953250" y="29260800"/>
              <a:ext cx="790576" cy="285750"/>
              <a:chOff x="7439024" y="28575000"/>
              <a:chExt cx="790576" cy="285750"/>
            </a:xfrm>
          </xdr:grpSpPr>
          <xdr:sp macro="" textlink="">
            <xdr:nvSpPr>
              <xdr:cNvPr id="187" name="Rectangle 250">
                <a:extLst>
                  <a:ext uri="{FF2B5EF4-FFF2-40B4-BE49-F238E27FC236}">
                    <a16:creationId xmlns:a16="http://schemas.microsoft.com/office/drawing/2014/main" id="{00000000-0008-0000-2800-0000BB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188" name="Rectangle 251">
                <a:extLst>
                  <a:ext uri="{FF2B5EF4-FFF2-40B4-BE49-F238E27FC236}">
                    <a16:creationId xmlns:a16="http://schemas.microsoft.com/office/drawing/2014/main" id="{00000000-0008-0000-2800-0000BC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sp macro="" textlink="">
        <xdr:nvSpPr>
          <xdr:cNvPr id="183" name="Rectangle 246">
            <a:extLst>
              <a:ext uri="{FF2B5EF4-FFF2-40B4-BE49-F238E27FC236}">
                <a16:creationId xmlns:a16="http://schemas.microsoft.com/office/drawing/2014/main" id="{00000000-0008-0000-2800-0000B7000000}"/>
              </a:ext>
            </a:extLst>
          </xdr:cNvPr>
          <xdr:cNvSpPr>
            <a:spLocks noChangeArrowheads="1"/>
          </xdr:cNvSpPr>
        </xdr:nvSpPr>
        <xdr:spPr bwMode="auto">
          <a:xfrm>
            <a:off x="7010400" y="9553576"/>
            <a:ext cx="371475" cy="285750"/>
          </a:xfrm>
          <a:prstGeom prst="rect">
            <a:avLst/>
          </a:prstGeom>
          <a:solidFill>
            <a:srgbClr val="FFFFFF"/>
          </a:solidFill>
          <a:ln w="9525" algn="ctr">
            <a:solidFill>
              <a:srgbClr val="000000"/>
            </a:solidFill>
            <a:round/>
            <a:headEnd/>
            <a:tailEnd/>
          </a:ln>
        </xdr:spPr>
      </xdr:sp>
    </xdr:grpSp>
    <xdr:clientData/>
  </xdr:twoCellAnchor>
  <xdr:twoCellAnchor>
    <xdr:from>
      <xdr:col>25</xdr:col>
      <xdr:colOff>161925</xdr:colOff>
      <xdr:row>88</xdr:row>
      <xdr:rowOff>19050</xdr:rowOff>
    </xdr:from>
    <xdr:to>
      <xdr:col>26</xdr:col>
      <xdr:colOff>190500</xdr:colOff>
      <xdr:row>89</xdr:row>
      <xdr:rowOff>142875</xdr:rowOff>
    </xdr:to>
    <xdr:sp macro="" textlink="">
      <xdr:nvSpPr>
        <xdr:cNvPr id="193" name="Rectangle 215">
          <a:extLst>
            <a:ext uri="{FF2B5EF4-FFF2-40B4-BE49-F238E27FC236}">
              <a16:creationId xmlns:a16="http://schemas.microsoft.com/office/drawing/2014/main" id="{00000000-0008-0000-2800-0000C1000000}"/>
            </a:ext>
            <a:ext uri="{147F2762-F138-4A5C-976F-8EAC2B608ADB}">
              <a16:predDERef xmlns:a16="http://schemas.microsoft.com/office/drawing/2014/main" pred="{77E73AC9-B0B7-4739-AF4A-51EF39C749BB}"/>
            </a:ext>
          </a:extLst>
        </xdr:cNvPr>
        <xdr:cNvSpPr>
          <a:spLocks noChangeArrowheads="1"/>
        </xdr:cNvSpPr>
      </xdr:nvSpPr>
      <xdr:spPr bwMode="auto">
        <a:xfrm>
          <a:off x="8553450" y="15068550"/>
          <a:ext cx="352425" cy="295275"/>
        </a:xfrm>
        <a:prstGeom prst="rect">
          <a:avLst/>
        </a:prstGeom>
        <a:solidFill>
          <a:srgbClr val="FFFFFF"/>
        </a:solidFill>
        <a:ln w="9525" algn="ctr">
          <a:solidFill>
            <a:srgbClr val="000000"/>
          </a:solidFill>
          <a:round/>
          <a:headEnd/>
          <a:tailEnd/>
        </a:ln>
      </xdr:spPr>
      <xdr:txBody>
        <a:bodyPr/>
        <a:lstStyle/>
        <a:p>
          <a:endParaRPr/>
        </a:p>
      </xdr:txBody>
    </xdr:sp>
    <xdr:clientData/>
  </xdr:twoCellAnchor>
  <xdr:twoCellAnchor>
    <xdr:from>
      <xdr:col>13</xdr:col>
      <xdr:colOff>352425</xdr:colOff>
      <xdr:row>73</xdr:row>
      <xdr:rowOff>9525</xdr:rowOff>
    </xdr:from>
    <xdr:to>
      <xdr:col>14</xdr:col>
      <xdr:colOff>257175</xdr:colOff>
      <xdr:row>74</xdr:row>
      <xdr:rowOff>142875</xdr:rowOff>
    </xdr:to>
    <xdr:sp macro="" textlink="">
      <xdr:nvSpPr>
        <xdr:cNvPr id="194" name="Rectangle 1">
          <a:extLst>
            <a:ext uri="{FF2B5EF4-FFF2-40B4-BE49-F238E27FC236}">
              <a16:creationId xmlns:a16="http://schemas.microsoft.com/office/drawing/2014/main" id="{00000000-0008-0000-2800-0000C2000000}"/>
            </a:ext>
            <a:ext uri="{147F2762-F138-4A5C-976F-8EAC2B608ADB}">
              <a16:predDERef xmlns:a16="http://schemas.microsoft.com/office/drawing/2014/main" pred="{63C327EC-B33C-4530-BB11-119786EE72DE}"/>
            </a:ext>
          </a:extLst>
        </xdr:cNvPr>
        <xdr:cNvSpPr/>
      </xdr:nvSpPr>
      <xdr:spPr bwMode="auto">
        <a:xfrm>
          <a:off x="4514850" y="12658725"/>
          <a:ext cx="266700" cy="3048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15</xdr:col>
      <xdr:colOff>219075</xdr:colOff>
      <xdr:row>73</xdr:row>
      <xdr:rowOff>19050</xdr:rowOff>
    </xdr:from>
    <xdr:to>
      <xdr:col>15</xdr:col>
      <xdr:colOff>333375</xdr:colOff>
      <xdr:row>74</xdr:row>
      <xdr:rowOff>95250</xdr:rowOff>
    </xdr:to>
    <xdr:cxnSp macro="">
      <xdr:nvCxnSpPr>
        <xdr:cNvPr id="195" name="Straight Connector 3">
          <a:extLst>
            <a:ext uri="{FF2B5EF4-FFF2-40B4-BE49-F238E27FC236}">
              <a16:creationId xmlns:a16="http://schemas.microsoft.com/office/drawing/2014/main" id="{00000000-0008-0000-2800-0000C3000000}"/>
            </a:ext>
            <a:ext uri="{147F2762-F138-4A5C-976F-8EAC2B608ADB}">
              <a16:predDERef xmlns:a16="http://schemas.microsoft.com/office/drawing/2014/main" pred="{E637C00C-BF81-4792-88AD-7C995DED938A}"/>
            </a:ext>
          </a:extLst>
        </xdr:cNvPr>
        <xdr:cNvCxnSpPr>
          <a:cxnSpLocks/>
          <a:extLst>
            <a:ext uri="{5F17804C-33F3-41E3-A699-7DCFA2EF7971}">
              <a16:cxnDERefs xmlns:a16="http://schemas.microsoft.com/office/drawing/2014/main" st="{00000000-0000-0000-0000-000000000000}" end="{2456191E-2D79-4943-BF3E-2A1589279190}"/>
            </a:ext>
          </a:extLst>
        </xdr:cNvCxnSpPr>
      </xdr:nvCxnSpPr>
      <xdr:spPr bwMode="auto">
        <a:xfrm flipV="1">
          <a:off x="5143500" y="12668250"/>
          <a:ext cx="114300" cy="247650"/>
        </a:xfrm>
        <a:prstGeom prst="line">
          <a:avLst/>
        </a:prstGeom>
        <a:solidFill>
          <a:srgbClr val="FFFFFF"/>
        </a:solidFill>
        <a:ln w="9525" cap="flat" cmpd="sng" algn="ctr">
          <a:solidFill>
            <a:srgbClr val="000000"/>
          </a:solidFill>
          <a:prstDash val="solid"/>
          <a:round/>
          <a:headEnd type="none" w="med" len="med"/>
          <a:tailEnd type="none" w="med" len="med"/>
        </a:ln>
        <a:effectLst/>
      </xdr:spPr>
    </xdr:cxnSp>
    <xdr:clientData/>
  </xdr:twoCellAnchor>
  <xdr:twoCellAnchor>
    <xdr:from>
      <xdr:col>14</xdr:col>
      <xdr:colOff>295275</xdr:colOff>
      <xdr:row>73</xdr:row>
      <xdr:rowOff>9525</xdr:rowOff>
    </xdr:from>
    <xdr:to>
      <xdr:col>15</xdr:col>
      <xdr:colOff>171450</xdr:colOff>
      <xdr:row>74</xdr:row>
      <xdr:rowOff>133350</xdr:rowOff>
    </xdr:to>
    <xdr:sp macro="" textlink="">
      <xdr:nvSpPr>
        <xdr:cNvPr id="196" name="Rectangle 4">
          <a:extLst>
            <a:ext uri="{FF2B5EF4-FFF2-40B4-BE49-F238E27FC236}">
              <a16:creationId xmlns:a16="http://schemas.microsoft.com/office/drawing/2014/main" id="{00000000-0008-0000-2800-0000C4000000}"/>
            </a:ext>
            <a:ext uri="{147F2762-F138-4A5C-976F-8EAC2B608ADB}">
              <a16:predDERef xmlns:a16="http://schemas.microsoft.com/office/drawing/2014/main" pred="{6DB8E67F-9CDE-4CCD-BADB-68A52C3B0ACD}"/>
            </a:ext>
          </a:extLst>
        </xdr:cNvPr>
        <xdr:cNvSpPr/>
      </xdr:nvSpPr>
      <xdr:spPr bwMode="auto">
        <a:xfrm>
          <a:off x="4819650" y="12658725"/>
          <a:ext cx="276225" cy="2952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16</xdr:col>
      <xdr:colOff>0</xdr:colOff>
      <xdr:row>72</xdr:row>
      <xdr:rowOff>142875</xdr:rowOff>
    </xdr:from>
    <xdr:to>
      <xdr:col>16</xdr:col>
      <xdr:colOff>285750</xdr:colOff>
      <xdr:row>74</xdr:row>
      <xdr:rowOff>133350</xdr:rowOff>
    </xdr:to>
    <xdr:sp macro="" textlink="">
      <xdr:nvSpPr>
        <xdr:cNvPr id="197" name="Rectangle 5">
          <a:extLst>
            <a:ext uri="{FF2B5EF4-FFF2-40B4-BE49-F238E27FC236}">
              <a16:creationId xmlns:a16="http://schemas.microsoft.com/office/drawing/2014/main" id="{00000000-0008-0000-2800-0000C5000000}"/>
            </a:ext>
            <a:ext uri="{147F2762-F138-4A5C-976F-8EAC2B608ADB}">
              <a16:predDERef xmlns:a16="http://schemas.microsoft.com/office/drawing/2014/main" pred="{5F6CF2D0-7E18-4491-96D0-DA2779A8D95B}"/>
            </a:ext>
          </a:extLst>
        </xdr:cNvPr>
        <xdr:cNvSpPr/>
      </xdr:nvSpPr>
      <xdr:spPr bwMode="auto">
        <a:xfrm>
          <a:off x="5324475" y="12620625"/>
          <a:ext cx="285750" cy="3333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16</xdr:col>
      <xdr:colOff>352425</xdr:colOff>
      <xdr:row>72</xdr:row>
      <xdr:rowOff>133350</xdr:rowOff>
    </xdr:from>
    <xdr:to>
      <xdr:col>17</xdr:col>
      <xdr:colOff>266700</xdr:colOff>
      <xdr:row>74</xdr:row>
      <xdr:rowOff>142875</xdr:rowOff>
    </xdr:to>
    <xdr:sp macro="" textlink="">
      <xdr:nvSpPr>
        <xdr:cNvPr id="198" name="Rectangle 6">
          <a:extLst>
            <a:ext uri="{FF2B5EF4-FFF2-40B4-BE49-F238E27FC236}">
              <a16:creationId xmlns:a16="http://schemas.microsoft.com/office/drawing/2014/main" id="{00000000-0008-0000-2800-0000C6000000}"/>
            </a:ext>
            <a:ext uri="{147F2762-F138-4A5C-976F-8EAC2B608ADB}">
              <a16:predDERef xmlns:a16="http://schemas.microsoft.com/office/drawing/2014/main" pred="{CB62ECD3-065C-4D3A-8E71-69C796ABC685}"/>
            </a:ext>
          </a:extLst>
        </xdr:cNvPr>
        <xdr:cNvSpPr/>
      </xdr:nvSpPr>
      <xdr:spPr bwMode="auto">
        <a:xfrm>
          <a:off x="5676900" y="12611100"/>
          <a:ext cx="276225" cy="35242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15</xdr:col>
      <xdr:colOff>333375</xdr:colOff>
      <xdr:row>46</xdr:row>
      <xdr:rowOff>114300</xdr:rowOff>
    </xdr:from>
    <xdr:to>
      <xdr:col>17</xdr:col>
      <xdr:colOff>9525</xdr:colOff>
      <xdr:row>48</xdr:row>
      <xdr:rowOff>95250</xdr:rowOff>
    </xdr:to>
    <xdr:sp macro="" textlink="">
      <xdr:nvSpPr>
        <xdr:cNvPr id="199" name="Rectangle 7">
          <a:extLst>
            <a:ext uri="{FF2B5EF4-FFF2-40B4-BE49-F238E27FC236}">
              <a16:creationId xmlns:a16="http://schemas.microsoft.com/office/drawing/2014/main" id="{00000000-0008-0000-2800-0000C7000000}"/>
            </a:ext>
            <a:ext uri="{147F2762-F138-4A5C-976F-8EAC2B608ADB}">
              <a16:predDERef xmlns:a16="http://schemas.microsoft.com/office/drawing/2014/main" pred="{34FE9F74-F0EC-420E-84F9-585B42CD4649}"/>
            </a:ext>
          </a:extLst>
        </xdr:cNvPr>
        <xdr:cNvSpPr/>
      </xdr:nvSpPr>
      <xdr:spPr bwMode="auto">
        <a:xfrm>
          <a:off x="5257800" y="8134350"/>
          <a:ext cx="438150" cy="32385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23</xdr:col>
      <xdr:colOff>257175</xdr:colOff>
      <xdr:row>65</xdr:row>
      <xdr:rowOff>9525</xdr:rowOff>
    </xdr:from>
    <xdr:to>
      <xdr:col>24</xdr:col>
      <xdr:colOff>285750</xdr:colOff>
      <xdr:row>67</xdr:row>
      <xdr:rowOff>57150</xdr:rowOff>
    </xdr:to>
    <xdr:sp macro="" textlink="">
      <xdr:nvSpPr>
        <xdr:cNvPr id="200" name="Rectangle 8">
          <a:extLst>
            <a:ext uri="{FF2B5EF4-FFF2-40B4-BE49-F238E27FC236}">
              <a16:creationId xmlns:a16="http://schemas.microsoft.com/office/drawing/2014/main" id="{00000000-0008-0000-2800-0000C8000000}"/>
            </a:ext>
            <a:ext uri="{147F2762-F138-4A5C-976F-8EAC2B608ADB}">
              <a16:predDERef xmlns:a16="http://schemas.microsoft.com/office/drawing/2014/main" pred="{5D2CFC9A-D5F4-4FE1-8406-6FE0906DD04D}"/>
            </a:ext>
          </a:extLst>
        </xdr:cNvPr>
        <xdr:cNvSpPr/>
      </xdr:nvSpPr>
      <xdr:spPr bwMode="auto">
        <a:xfrm>
          <a:off x="7924800" y="11287125"/>
          <a:ext cx="428625" cy="39052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9</xdr:col>
      <xdr:colOff>361950</xdr:colOff>
      <xdr:row>110</xdr:row>
      <xdr:rowOff>38100</xdr:rowOff>
    </xdr:from>
    <xdr:to>
      <xdr:col>11</xdr:col>
      <xdr:colOff>123825</xdr:colOff>
      <xdr:row>112</xdr:row>
      <xdr:rowOff>28575</xdr:rowOff>
    </xdr:to>
    <xdr:sp macro="" textlink="">
      <xdr:nvSpPr>
        <xdr:cNvPr id="201" name="Rectangle 2">
          <a:extLst>
            <a:ext uri="{FF2B5EF4-FFF2-40B4-BE49-F238E27FC236}">
              <a16:creationId xmlns:a16="http://schemas.microsoft.com/office/drawing/2014/main" id="{00000000-0008-0000-2800-0000C9000000}"/>
            </a:ext>
            <a:ext uri="{147F2762-F138-4A5C-976F-8EAC2B608ADB}">
              <a16:predDERef xmlns:a16="http://schemas.microsoft.com/office/drawing/2014/main" pred="{BD85A587-64FE-46D1-9F83-70A5A7295A4A}"/>
            </a:ext>
          </a:extLst>
        </xdr:cNvPr>
        <xdr:cNvSpPr/>
      </xdr:nvSpPr>
      <xdr:spPr bwMode="auto">
        <a:xfrm>
          <a:off x="3343275" y="19030950"/>
          <a:ext cx="342900" cy="3333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11</xdr:col>
      <xdr:colOff>190500</xdr:colOff>
      <xdr:row>110</xdr:row>
      <xdr:rowOff>28575</xdr:rowOff>
    </xdr:from>
    <xdr:to>
      <xdr:col>12</xdr:col>
      <xdr:colOff>342900</xdr:colOff>
      <xdr:row>112</xdr:row>
      <xdr:rowOff>38100</xdr:rowOff>
    </xdr:to>
    <xdr:sp macro="" textlink="">
      <xdr:nvSpPr>
        <xdr:cNvPr id="202" name="Rectangle 9">
          <a:extLst>
            <a:ext uri="{FF2B5EF4-FFF2-40B4-BE49-F238E27FC236}">
              <a16:creationId xmlns:a16="http://schemas.microsoft.com/office/drawing/2014/main" id="{00000000-0008-0000-2800-0000CA000000}"/>
            </a:ext>
            <a:ext uri="{147F2762-F138-4A5C-976F-8EAC2B608ADB}">
              <a16:predDERef xmlns:a16="http://schemas.microsoft.com/office/drawing/2014/main" pred="{0981D072-2528-4D42-BA29-77A71D2BA284}"/>
            </a:ext>
          </a:extLst>
        </xdr:cNvPr>
        <xdr:cNvSpPr/>
      </xdr:nvSpPr>
      <xdr:spPr bwMode="auto">
        <a:xfrm>
          <a:off x="3752850" y="19021425"/>
          <a:ext cx="352425" cy="35242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13</xdr:col>
      <xdr:colOff>57150</xdr:colOff>
      <xdr:row>110</xdr:row>
      <xdr:rowOff>28575</xdr:rowOff>
    </xdr:from>
    <xdr:to>
      <xdr:col>14</xdr:col>
      <xdr:colOff>57150</xdr:colOff>
      <xdr:row>112</xdr:row>
      <xdr:rowOff>47625</xdr:rowOff>
    </xdr:to>
    <xdr:sp macro="" textlink="">
      <xdr:nvSpPr>
        <xdr:cNvPr id="203" name="Rectangle 10">
          <a:extLst>
            <a:ext uri="{FF2B5EF4-FFF2-40B4-BE49-F238E27FC236}">
              <a16:creationId xmlns:a16="http://schemas.microsoft.com/office/drawing/2014/main" id="{00000000-0008-0000-2800-0000CB000000}"/>
            </a:ext>
            <a:ext uri="{147F2762-F138-4A5C-976F-8EAC2B608ADB}">
              <a16:predDERef xmlns:a16="http://schemas.microsoft.com/office/drawing/2014/main" pred="{B2BB6B7B-C1A1-4EB6-A973-FCED28E08BC8}"/>
            </a:ext>
          </a:extLst>
        </xdr:cNvPr>
        <xdr:cNvSpPr/>
      </xdr:nvSpPr>
      <xdr:spPr bwMode="auto">
        <a:xfrm>
          <a:off x="4219575" y="19021425"/>
          <a:ext cx="361950" cy="36195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14</xdr:col>
      <xdr:colOff>123825</xdr:colOff>
      <xdr:row>110</xdr:row>
      <xdr:rowOff>19050</xdr:rowOff>
    </xdr:from>
    <xdr:to>
      <xdr:col>15</xdr:col>
      <xdr:colOff>123825</xdr:colOff>
      <xdr:row>112</xdr:row>
      <xdr:rowOff>47625</xdr:rowOff>
    </xdr:to>
    <xdr:sp macro="" textlink="">
      <xdr:nvSpPr>
        <xdr:cNvPr id="204" name="Rectangle 11">
          <a:extLst>
            <a:ext uri="{FF2B5EF4-FFF2-40B4-BE49-F238E27FC236}">
              <a16:creationId xmlns:a16="http://schemas.microsoft.com/office/drawing/2014/main" id="{00000000-0008-0000-2800-0000CC000000}"/>
            </a:ext>
            <a:ext uri="{147F2762-F138-4A5C-976F-8EAC2B608ADB}">
              <a16:predDERef xmlns:a16="http://schemas.microsoft.com/office/drawing/2014/main" pred="{3A2E1822-3D3D-4C96-9D23-E9ECCDB59674}"/>
            </a:ext>
          </a:extLst>
        </xdr:cNvPr>
        <xdr:cNvSpPr/>
      </xdr:nvSpPr>
      <xdr:spPr bwMode="auto">
        <a:xfrm>
          <a:off x="4648200" y="19011900"/>
          <a:ext cx="400050" cy="3714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15</xdr:col>
      <xdr:colOff>219075</xdr:colOff>
      <xdr:row>110</xdr:row>
      <xdr:rowOff>9525</xdr:rowOff>
    </xdr:from>
    <xdr:to>
      <xdr:col>16</xdr:col>
      <xdr:colOff>190500</xdr:colOff>
      <xdr:row>112</xdr:row>
      <xdr:rowOff>38100</xdr:rowOff>
    </xdr:to>
    <xdr:sp macro="" textlink="">
      <xdr:nvSpPr>
        <xdr:cNvPr id="205" name="Rectangle 12">
          <a:extLst>
            <a:ext uri="{FF2B5EF4-FFF2-40B4-BE49-F238E27FC236}">
              <a16:creationId xmlns:a16="http://schemas.microsoft.com/office/drawing/2014/main" id="{00000000-0008-0000-2800-0000CD000000}"/>
            </a:ext>
            <a:ext uri="{147F2762-F138-4A5C-976F-8EAC2B608ADB}">
              <a16:predDERef xmlns:a16="http://schemas.microsoft.com/office/drawing/2014/main" pred="{BB50B108-F578-4F19-A6CF-3EDEBA30FB2D}"/>
            </a:ext>
          </a:extLst>
        </xdr:cNvPr>
        <xdr:cNvSpPr/>
      </xdr:nvSpPr>
      <xdr:spPr bwMode="auto">
        <a:xfrm>
          <a:off x="5143500" y="19002375"/>
          <a:ext cx="371475" cy="37147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16</xdr:col>
      <xdr:colOff>266700</xdr:colOff>
      <xdr:row>110</xdr:row>
      <xdr:rowOff>19050</xdr:rowOff>
    </xdr:from>
    <xdr:to>
      <xdr:col>17</xdr:col>
      <xdr:colOff>295275</xdr:colOff>
      <xdr:row>112</xdr:row>
      <xdr:rowOff>57150</xdr:rowOff>
    </xdr:to>
    <xdr:sp macro="" textlink="">
      <xdr:nvSpPr>
        <xdr:cNvPr id="206" name="Rectangle 13">
          <a:extLst>
            <a:ext uri="{FF2B5EF4-FFF2-40B4-BE49-F238E27FC236}">
              <a16:creationId xmlns:a16="http://schemas.microsoft.com/office/drawing/2014/main" id="{00000000-0008-0000-2800-0000CE000000}"/>
            </a:ext>
            <a:ext uri="{147F2762-F138-4A5C-976F-8EAC2B608ADB}">
              <a16:predDERef xmlns:a16="http://schemas.microsoft.com/office/drawing/2014/main" pred="{E6301F57-9C94-4B8D-AA01-27F689A818C6}"/>
            </a:ext>
          </a:extLst>
        </xdr:cNvPr>
        <xdr:cNvSpPr/>
      </xdr:nvSpPr>
      <xdr:spPr bwMode="auto">
        <a:xfrm>
          <a:off x="5591175" y="19011900"/>
          <a:ext cx="390525" cy="381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lang="en-US"/>
        </a:p>
      </xdr:txBody>
    </xdr:sp>
    <xdr:clientData/>
  </xdr:twoCellAnchor>
  <xdr:twoCellAnchor>
    <xdr:from>
      <xdr:col>7</xdr:col>
      <xdr:colOff>285750</xdr:colOff>
      <xdr:row>8</xdr:row>
      <xdr:rowOff>47625</xdr:rowOff>
    </xdr:from>
    <xdr:to>
      <xdr:col>8</xdr:col>
      <xdr:colOff>285750</xdr:colOff>
      <xdr:row>10</xdr:row>
      <xdr:rowOff>104775</xdr:rowOff>
    </xdr:to>
    <xdr:sp macro="" textlink="">
      <xdr:nvSpPr>
        <xdr:cNvPr id="207" name="Rectangle 241">
          <a:extLst>
            <a:ext uri="{FF2B5EF4-FFF2-40B4-BE49-F238E27FC236}">
              <a16:creationId xmlns:a16="http://schemas.microsoft.com/office/drawing/2014/main" id="{00000000-0008-0000-2800-0000CF000000}"/>
            </a:ext>
          </a:extLst>
        </xdr:cNvPr>
        <xdr:cNvSpPr>
          <a:spLocks noChangeArrowheads="1"/>
        </xdr:cNvSpPr>
      </xdr:nvSpPr>
      <xdr:spPr bwMode="auto">
        <a:xfrm>
          <a:off x="2638425" y="1238250"/>
          <a:ext cx="438150" cy="400050"/>
        </a:xfrm>
        <a:prstGeom prst="rect">
          <a:avLst/>
        </a:prstGeom>
        <a:solidFill>
          <a:srgbClr val="FFFFFF"/>
        </a:solidFill>
        <a:ln w="9525" algn="ctr">
          <a:solidFill>
            <a:srgbClr val="000000"/>
          </a:solidFill>
          <a:round/>
          <a:headEnd/>
          <a:tailEnd/>
        </a:ln>
      </xdr:spPr>
    </xdr:sp>
    <xdr:clientData/>
  </xdr:twoCellAnchor>
  <xdr:twoCellAnchor>
    <xdr:from>
      <xdr:col>7</xdr:col>
      <xdr:colOff>66675</xdr:colOff>
      <xdr:row>12</xdr:row>
      <xdr:rowOff>85725</xdr:rowOff>
    </xdr:from>
    <xdr:to>
      <xdr:col>8</xdr:col>
      <xdr:colOff>400050</xdr:colOff>
      <xdr:row>14</xdr:row>
      <xdr:rowOff>66675</xdr:rowOff>
    </xdr:to>
    <xdr:grpSp>
      <xdr:nvGrpSpPr>
        <xdr:cNvPr id="208" name="Groupe 147">
          <a:extLst>
            <a:ext uri="{FF2B5EF4-FFF2-40B4-BE49-F238E27FC236}">
              <a16:creationId xmlns:a16="http://schemas.microsoft.com/office/drawing/2014/main" id="{00000000-0008-0000-2800-0000D0000000}"/>
            </a:ext>
          </a:extLst>
        </xdr:cNvPr>
        <xdr:cNvGrpSpPr>
          <a:grpSpLocks/>
        </xdr:cNvGrpSpPr>
      </xdr:nvGrpSpPr>
      <xdr:grpSpPr bwMode="auto">
        <a:xfrm>
          <a:off x="2238375" y="2143125"/>
          <a:ext cx="742950" cy="304800"/>
          <a:chOff x="4429125" y="27365325"/>
          <a:chExt cx="781050" cy="371475"/>
        </a:xfrm>
      </xdr:grpSpPr>
      <xdr:sp macro="" textlink="">
        <xdr:nvSpPr>
          <xdr:cNvPr id="209" name="Rectangle 148">
            <a:extLst>
              <a:ext uri="{FF2B5EF4-FFF2-40B4-BE49-F238E27FC236}">
                <a16:creationId xmlns:a16="http://schemas.microsoft.com/office/drawing/2014/main" id="{00000000-0008-0000-2800-0000D1000000}"/>
              </a:ext>
            </a:extLst>
          </xdr:cNvPr>
          <xdr:cNvSpPr>
            <a:spLocks noChangeArrowheads="1"/>
          </xdr:cNvSpPr>
        </xdr:nvSpPr>
        <xdr:spPr bwMode="auto">
          <a:xfrm>
            <a:off x="4429125" y="27365325"/>
            <a:ext cx="371475" cy="371475"/>
          </a:xfrm>
          <a:prstGeom prst="rect">
            <a:avLst/>
          </a:prstGeom>
          <a:solidFill>
            <a:srgbClr val="FFFFFF"/>
          </a:solidFill>
          <a:ln w="9525" algn="ctr">
            <a:solidFill>
              <a:srgbClr val="000000"/>
            </a:solidFill>
            <a:round/>
            <a:headEnd/>
            <a:tailEnd/>
          </a:ln>
        </xdr:spPr>
      </xdr:sp>
      <xdr:sp macro="" textlink="">
        <xdr:nvSpPr>
          <xdr:cNvPr id="210" name="Rectangle 149">
            <a:extLst>
              <a:ext uri="{FF2B5EF4-FFF2-40B4-BE49-F238E27FC236}">
                <a16:creationId xmlns:a16="http://schemas.microsoft.com/office/drawing/2014/main" id="{00000000-0008-0000-2800-0000D2000000}"/>
              </a:ext>
            </a:extLst>
          </xdr:cNvPr>
          <xdr:cNvSpPr>
            <a:spLocks noChangeArrowheads="1"/>
          </xdr:cNvSpPr>
        </xdr:nvSpPr>
        <xdr:spPr bwMode="auto">
          <a:xfrm>
            <a:off x="4838700" y="27365325"/>
            <a:ext cx="371475" cy="371475"/>
          </a:xfrm>
          <a:prstGeom prst="rect">
            <a:avLst/>
          </a:prstGeom>
          <a:solidFill>
            <a:srgbClr val="FFFFFF"/>
          </a:solidFill>
          <a:ln w="9525" algn="ctr">
            <a:solidFill>
              <a:srgbClr val="000000"/>
            </a:solidFill>
            <a:round/>
            <a:headEnd/>
            <a:tailEnd/>
          </a:ln>
        </xdr:spPr>
      </xdr:sp>
    </xdr:grpSp>
    <xdr:clientData/>
  </xdr:twoCellAnchor>
  <xdr:twoCellAnchor>
    <xdr:from>
      <xdr:col>7</xdr:col>
      <xdr:colOff>323850</xdr:colOff>
      <xdr:row>17</xdr:row>
      <xdr:rowOff>0</xdr:rowOff>
    </xdr:from>
    <xdr:to>
      <xdr:col>8</xdr:col>
      <xdr:colOff>276225</xdr:colOff>
      <xdr:row>17</xdr:row>
      <xdr:rowOff>152400</xdr:rowOff>
    </xdr:to>
    <xdr:sp macro="" textlink="">
      <xdr:nvSpPr>
        <xdr:cNvPr id="211" name="Rectangle 243">
          <a:extLst>
            <a:ext uri="{FF2B5EF4-FFF2-40B4-BE49-F238E27FC236}">
              <a16:creationId xmlns:a16="http://schemas.microsoft.com/office/drawing/2014/main" id="{00000000-0008-0000-2800-0000D3000000}"/>
            </a:ext>
          </a:extLst>
        </xdr:cNvPr>
        <xdr:cNvSpPr>
          <a:spLocks noChangeArrowheads="1"/>
        </xdr:cNvSpPr>
      </xdr:nvSpPr>
      <xdr:spPr bwMode="auto">
        <a:xfrm>
          <a:off x="2676525" y="2686050"/>
          <a:ext cx="390525" cy="152400"/>
        </a:xfrm>
        <a:prstGeom prst="rect">
          <a:avLst/>
        </a:prstGeom>
        <a:solidFill>
          <a:srgbClr val="FFFFFF"/>
        </a:solidFill>
        <a:ln w="9525" algn="ctr">
          <a:solidFill>
            <a:srgbClr val="000000"/>
          </a:solidFill>
          <a:round/>
          <a:headEnd/>
          <a:tailEnd/>
        </a:ln>
      </xdr:spPr>
    </xdr:sp>
    <xdr:clientData/>
  </xdr:twoCellAnchor>
  <xdr:twoCellAnchor>
    <xdr:from>
      <xdr:col>7</xdr:col>
      <xdr:colOff>323850</xdr:colOff>
      <xdr:row>18</xdr:row>
      <xdr:rowOff>0</xdr:rowOff>
    </xdr:from>
    <xdr:to>
      <xdr:col>8</xdr:col>
      <xdr:colOff>276225</xdr:colOff>
      <xdr:row>18</xdr:row>
      <xdr:rowOff>152400</xdr:rowOff>
    </xdr:to>
    <xdr:sp macro="" textlink="">
      <xdr:nvSpPr>
        <xdr:cNvPr id="212" name="Rectangle 243">
          <a:extLst>
            <a:ext uri="{FF2B5EF4-FFF2-40B4-BE49-F238E27FC236}">
              <a16:creationId xmlns:a16="http://schemas.microsoft.com/office/drawing/2014/main" id="{00000000-0008-0000-2800-0000D4000000}"/>
            </a:ext>
          </a:extLst>
        </xdr:cNvPr>
        <xdr:cNvSpPr>
          <a:spLocks noChangeArrowheads="1"/>
        </xdr:cNvSpPr>
      </xdr:nvSpPr>
      <xdr:spPr bwMode="auto">
        <a:xfrm>
          <a:off x="2676525" y="2847975"/>
          <a:ext cx="390525" cy="152400"/>
        </a:xfrm>
        <a:prstGeom prst="rect">
          <a:avLst/>
        </a:prstGeom>
        <a:solidFill>
          <a:srgbClr val="FFFFFF"/>
        </a:solidFill>
        <a:ln w="9525" algn="ctr">
          <a:solidFill>
            <a:srgbClr val="000000"/>
          </a:solidFill>
          <a:round/>
          <a:headEnd/>
          <a:tailEnd/>
        </a:ln>
      </xdr:spPr>
    </xdr:sp>
    <xdr:clientData/>
  </xdr:twoCellAnchor>
  <xdr:twoCellAnchor>
    <xdr:from>
      <xdr:col>7</xdr:col>
      <xdr:colOff>323850</xdr:colOff>
      <xdr:row>19</xdr:row>
      <xdr:rowOff>0</xdr:rowOff>
    </xdr:from>
    <xdr:to>
      <xdr:col>8</xdr:col>
      <xdr:colOff>276225</xdr:colOff>
      <xdr:row>19</xdr:row>
      <xdr:rowOff>152400</xdr:rowOff>
    </xdr:to>
    <xdr:sp macro="" textlink="">
      <xdr:nvSpPr>
        <xdr:cNvPr id="213" name="Rectangle 243">
          <a:extLst>
            <a:ext uri="{FF2B5EF4-FFF2-40B4-BE49-F238E27FC236}">
              <a16:creationId xmlns:a16="http://schemas.microsoft.com/office/drawing/2014/main" id="{00000000-0008-0000-2800-0000D5000000}"/>
            </a:ext>
          </a:extLst>
        </xdr:cNvPr>
        <xdr:cNvSpPr>
          <a:spLocks noChangeArrowheads="1"/>
        </xdr:cNvSpPr>
      </xdr:nvSpPr>
      <xdr:spPr bwMode="auto">
        <a:xfrm>
          <a:off x="2676525" y="3019425"/>
          <a:ext cx="390525" cy="152400"/>
        </a:xfrm>
        <a:prstGeom prst="rect">
          <a:avLst/>
        </a:prstGeom>
        <a:solidFill>
          <a:srgbClr val="FFFFFF"/>
        </a:solidFill>
        <a:ln w="9525" algn="ctr">
          <a:solidFill>
            <a:srgbClr val="000000"/>
          </a:solidFill>
          <a:round/>
          <a:headEnd/>
          <a:tailEnd/>
        </a:ln>
      </xdr:spPr>
    </xdr:sp>
    <xdr:clientData/>
  </xdr:twoCellAnchor>
  <xdr:twoCellAnchor>
    <xdr:from>
      <xdr:col>26</xdr:col>
      <xdr:colOff>254000</xdr:colOff>
      <xdr:row>94</xdr:row>
      <xdr:rowOff>150283</xdr:rowOff>
    </xdr:from>
    <xdr:to>
      <xdr:col>26</xdr:col>
      <xdr:colOff>577850</xdr:colOff>
      <xdr:row>96</xdr:row>
      <xdr:rowOff>131233</xdr:rowOff>
    </xdr:to>
    <xdr:sp macro="" textlink="">
      <xdr:nvSpPr>
        <xdr:cNvPr id="217" name="Rectangle 108">
          <a:extLst>
            <a:ext uri="{FF2B5EF4-FFF2-40B4-BE49-F238E27FC236}">
              <a16:creationId xmlns:a16="http://schemas.microsoft.com/office/drawing/2014/main" id="{00000000-0008-0000-2800-0000D9000000}"/>
            </a:ext>
          </a:extLst>
        </xdr:cNvPr>
        <xdr:cNvSpPr>
          <a:spLocks noChangeArrowheads="1"/>
        </xdr:cNvSpPr>
      </xdr:nvSpPr>
      <xdr:spPr bwMode="auto">
        <a:xfrm>
          <a:off x="9302750" y="16457083"/>
          <a:ext cx="200025" cy="323850"/>
        </a:xfrm>
        <a:prstGeom prst="rect">
          <a:avLst/>
        </a:prstGeom>
        <a:solidFill>
          <a:srgbClr val="FFFFFF"/>
        </a:solidFill>
        <a:ln w="9525" algn="ctr">
          <a:solidFill>
            <a:srgbClr val="000000"/>
          </a:solidFill>
          <a:round/>
          <a:headEnd/>
          <a:tailEnd/>
        </a:ln>
      </xdr:spPr>
    </xdr:sp>
    <xdr:clientData/>
  </xdr:twoCellAnchor>
  <xdr:twoCellAnchor>
    <xdr:from>
      <xdr:col>15</xdr:col>
      <xdr:colOff>91016</xdr:colOff>
      <xdr:row>132</xdr:row>
      <xdr:rowOff>51858</xdr:rowOff>
    </xdr:from>
    <xdr:to>
      <xdr:col>16</xdr:col>
      <xdr:colOff>81491</xdr:colOff>
      <xdr:row>134</xdr:row>
      <xdr:rowOff>89958</xdr:rowOff>
    </xdr:to>
    <xdr:sp macro="" textlink="">
      <xdr:nvSpPr>
        <xdr:cNvPr id="218" name="Rectangle 107">
          <a:extLst>
            <a:ext uri="{FF2B5EF4-FFF2-40B4-BE49-F238E27FC236}">
              <a16:creationId xmlns:a16="http://schemas.microsoft.com/office/drawing/2014/main" id="{00000000-0008-0000-2800-0000DA000000}"/>
            </a:ext>
          </a:extLst>
        </xdr:cNvPr>
        <xdr:cNvSpPr>
          <a:spLocks noChangeArrowheads="1"/>
        </xdr:cNvSpPr>
      </xdr:nvSpPr>
      <xdr:spPr bwMode="auto">
        <a:xfrm>
          <a:off x="5070474" y="22589066"/>
          <a:ext cx="392642" cy="376767"/>
        </a:xfrm>
        <a:prstGeom prst="rect">
          <a:avLst/>
        </a:prstGeom>
        <a:solidFill>
          <a:srgbClr val="FFFFFF"/>
        </a:solidFill>
        <a:ln w="9525" algn="ctr">
          <a:solidFill>
            <a:srgbClr val="000000"/>
          </a:solidFill>
          <a:round/>
          <a:headEnd/>
          <a:tailEnd/>
        </a:ln>
      </xdr:spPr>
    </xdr:sp>
    <xdr:clientData/>
  </xdr:twoCellAnchor>
  <xdr:twoCellAnchor>
    <xdr:from>
      <xdr:col>24</xdr:col>
      <xdr:colOff>0</xdr:colOff>
      <xdr:row>138</xdr:row>
      <xdr:rowOff>0</xdr:rowOff>
    </xdr:from>
    <xdr:to>
      <xdr:col>24</xdr:col>
      <xdr:colOff>373063</xdr:colOff>
      <xdr:row>140</xdr:row>
      <xdr:rowOff>50799</xdr:rowOff>
    </xdr:to>
    <xdr:sp macro="" textlink="">
      <xdr:nvSpPr>
        <xdr:cNvPr id="219" name="Rectangle 115">
          <a:extLst>
            <a:ext uri="{FF2B5EF4-FFF2-40B4-BE49-F238E27FC236}">
              <a16:creationId xmlns:a16="http://schemas.microsoft.com/office/drawing/2014/main" id="{00000000-0008-0000-2800-0000DB000000}"/>
            </a:ext>
          </a:extLst>
        </xdr:cNvPr>
        <xdr:cNvSpPr>
          <a:spLocks noChangeArrowheads="1"/>
        </xdr:cNvSpPr>
      </xdr:nvSpPr>
      <xdr:spPr bwMode="auto">
        <a:xfrm>
          <a:off x="8537864" y="24028977"/>
          <a:ext cx="373063" cy="397163"/>
        </a:xfrm>
        <a:prstGeom prst="rect">
          <a:avLst/>
        </a:prstGeom>
        <a:solidFill>
          <a:srgbClr val="FFFFFF"/>
        </a:solidFill>
        <a:ln w="9525" algn="ctr">
          <a:solidFill>
            <a:srgbClr val="000000"/>
          </a:solidFill>
          <a:round/>
          <a:headEnd/>
          <a:tailEnd/>
        </a:ln>
      </xdr:spPr>
    </xdr:sp>
    <xdr:clientData/>
  </xdr:twoCellAnchor>
  <xdr:twoCellAnchor>
    <xdr:from>
      <xdr:col>16</xdr:col>
      <xdr:colOff>355023</xdr:colOff>
      <xdr:row>138</xdr:row>
      <xdr:rowOff>121228</xdr:rowOff>
    </xdr:from>
    <xdr:to>
      <xdr:col>17</xdr:col>
      <xdr:colOff>364404</xdr:colOff>
      <xdr:row>140</xdr:row>
      <xdr:rowOff>172027</xdr:rowOff>
    </xdr:to>
    <xdr:sp macro="" textlink="">
      <xdr:nvSpPr>
        <xdr:cNvPr id="220" name="Rectangle 115">
          <a:extLst>
            <a:ext uri="{FF2B5EF4-FFF2-40B4-BE49-F238E27FC236}">
              <a16:creationId xmlns:a16="http://schemas.microsoft.com/office/drawing/2014/main" id="{00000000-0008-0000-2800-0000DC000000}"/>
            </a:ext>
          </a:extLst>
        </xdr:cNvPr>
        <xdr:cNvSpPr>
          <a:spLocks noChangeArrowheads="1"/>
        </xdr:cNvSpPr>
      </xdr:nvSpPr>
      <xdr:spPr bwMode="auto">
        <a:xfrm>
          <a:off x="5732318" y="24150205"/>
          <a:ext cx="373063" cy="397163"/>
        </a:xfrm>
        <a:prstGeom prst="rect">
          <a:avLst/>
        </a:prstGeom>
        <a:solidFill>
          <a:srgbClr val="FFFFFF"/>
        </a:solidFill>
        <a:ln w="9525" algn="ctr">
          <a:solidFill>
            <a:srgbClr val="000000"/>
          </a:solidFill>
          <a:round/>
          <a:headEnd/>
          <a:tailEnd/>
        </a:ln>
      </xdr:spPr>
    </xdr:sp>
    <xdr:clientData/>
  </xdr:twoCellAnchor>
  <xdr:twoCellAnchor>
    <xdr:from>
      <xdr:col>6</xdr:col>
      <xdr:colOff>0</xdr:colOff>
      <xdr:row>138</xdr:row>
      <xdr:rowOff>0</xdr:rowOff>
    </xdr:from>
    <xdr:to>
      <xdr:col>7</xdr:col>
      <xdr:colOff>35358</xdr:colOff>
      <xdr:row>140</xdr:row>
      <xdr:rowOff>50799</xdr:rowOff>
    </xdr:to>
    <xdr:sp macro="" textlink="">
      <xdr:nvSpPr>
        <xdr:cNvPr id="221" name="Rectangle 115">
          <a:extLst>
            <a:ext uri="{FF2B5EF4-FFF2-40B4-BE49-F238E27FC236}">
              <a16:creationId xmlns:a16="http://schemas.microsoft.com/office/drawing/2014/main" id="{00000000-0008-0000-2800-0000DD000000}"/>
            </a:ext>
          </a:extLst>
        </xdr:cNvPr>
        <xdr:cNvSpPr>
          <a:spLocks noChangeArrowheads="1"/>
        </xdr:cNvSpPr>
      </xdr:nvSpPr>
      <xdr:spPr bwMode="auto">
        <a:xfrm>
          <a:off x="1844386" y="24028977"/>
          <a:ext cx="373063" cy="397163"/>
        </a:xfrm>
        <a:prstGeom prst="rect">
          <a:avLst/>
        </a:prstGeom>
        <a:solidFill>
          <a:srgbClr val="FFFFFF"/>
        </a:solidFill>
        <a:ln w="9525" algn="ctr">
          <a:solidFill>
            <a:srgbClr val="000000"/>
          </a:solidFill>
          <a:round/>
          <a:headEnd/>
          <a:tailEnd/>
        </a:ln>
      </xdr:spPr>
    </xdr:sp>
    <xdr:clientData/>
  </xdr:twoCellAnchor>
</xdr:wsDr>
</file>

<file path=xl/drawings/drawing7.xml><?xml version="1.0" encoding="utf-8"?>
<xdr:wsDr xmlns:xdr="http://schemas.openxmlformats.org/drawingml/2006/spreadsheetDrawing" xmlns:a="http://schemas.openxmlformats.org/drawingml/2006/main">
  <xdr:twoCellAnchor>
    <xdr:from>
      <xdr:col>11</xdr:col>
      <xdr:colOff>880696</xdr:colOff>
      <xdr:row>10</xdr:row>
      <xdr:rowOff>109905</xdr:rowOff>
    </xdr:from>
    <xdr:to>
      <xdr:col>12</xdr:col>
      <xdr:colOff>373673</xdr:colOff>
      <xdr:row>12</xdr:row>
      <xdr:rowOff>65944</xdr:rowOff>
    </xdr:to>
    <xdr:sp macro="" textlink="">
      <xdr:nvSpPr>
        <xdr:cNvPr id="2" name="Rectangle 1">
          <a:extLst>
            <a:ext uri="{FF2B5EF4-FFF2-40B4-BE49-F238E27FC236}">
              <a16:creationId xmlns:a16="http://schemas.microsoft.com/office/drawing/2014/main" id="{00000000-0008-0000-2A00-000002000000}"/>
            </a:ext>
          </a:extLst>
        </xdr:cNvPr>
        <xdr:cNvSpPr>
          <a:spLocks noChangeArrowheads="1"/>
        </xdr:cNvSpPr>
      </xdr:nvSpPr>
      <xdr:spPr bwMode="auto">
        <a:xfrm>
          <a:off x="8757138" y="3260482"/>
          <a:ext cx="438150" cy="285750"/>
        </a:xfrm>
        <a:prstGeom prst="rect">
          <a:avLst/>
        </a:prstGeom>
        <a:solidFill>
          <a:srgbClr val="FFFFFF"/>
        </a:solidFill>
        <a:ln w="9525" algn="ctr">
          <a:solidFill>
            <a:srgbClr val="000000"/>
          </a:solidFill>
          <a:round/>
          <a:headEnd/>
          <a:tailEnd/>
        </a:ln>
      </xdr:spPr>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339092</xdr:colOff>
      <xdr:row>7</xdr:row>
      <xdr:rowOff>223701</xdr:rowOff>
    </xdr:from>
    <xdr:to>
      <xdr:col>8</xdr:col>
      <xdr:colOff>369559</xdr:colOff>
      <xdr:row>10</xdr:row>
      <xdr:rowOff>292833</xdr:rowOff>
    </xdr:to>
    <xdr:sp macro="" textlink="">
      <xdr:nvSpPr>
        <xdr:cNvPr id="2" name="Text Box 11">
          <a:extLst>
            <a:ext uri="{FF2B5EF4-FFF2-40B4-BE49-F238E27FC236}">
              <a16:creationId xmlns:a16="http://schemas.microsoft.com/office/drawing/2014/main" id="{00000000-0008-0000-2C00-000002000000}"/>
            </a:ext>
          </a:extLst>
        </xdr:cNvPr>
        <xdr:cNvSpPr txBox="1">
          <a:spLocks noChangeArrowheads="1"/>
        </xdr:cNvSpPr>
      </xdr:nvSpPr>
      <xdr:spPr bwMode="auto">
        <a:xfrm>
          <a:off x="5298896" y="1774915"/>
          <a:ext cx="1459217" cy="749489"/>
        </a:xfrm>
        <a:prstGeom prst="rect">
          <a:avLst/>
        </a:prstGeom>
        <a:noFill/>
        <a:ln w="3175">
          <a:noFill/>
          <a:miter lim="800000"/>
          <a:headEnd/>
          <a:tailEnd/>
        </a:ln>
        <a:effectLst/>
      </xdr:spPr>
      <xdr:txBody>
        <a:bodyPr vertOverflow="clip" wrap="square" lIns="45720" tIns="45720" rIns="45720" bIns="45720" anchor="t" upright="1"/>
        <a:lstStyle/>
        <a:p>
          <a:pPr algn="l" rtl="0">
            <a:defRPr sz="1000"/>
          </a:pPr>
          <a:r>
            <a:rPr lang="en-US" sz="900" b="0" i="0" u="none" strike="noStrike" baseline="0">
              <a:solidFill>
                <a:srgbClr val="000000"/>
              </a:solidFill>
              <a:latin typeface="Arial Narrow" pitchFamily="34" charset="0"/>
              <a:cs typeface="Courier New" pitchFamily="49" charset="0"/>
            </a:rPr>
            <a:t>Aumentou........................... 1</a:t>
          </a:r>
        </a:p>
        <a:p>
          <a:pPr algn="l" rtl="0">
            <a:defRPr sz="1000"/>
          </a:pPr>
          <a:r>
            <a:rPr lang="en-US" sz="900" b="0" i="0" u="none" strike="noStrike" baseline="0">
              <a:solidFill>
                <a:srgbClr val="000000"/>
              </a:solidFill>
              <a:latin typeface="Arial Narrow" pitchFamily="34" charset="0"/>
              <a:cs typeface="Courier New" pitchFamily="49" charset="0"/>
            </a:rPr>
            <a:t>Diminuiu ..............................2</a:t>
          </a:r>
        </a:p>
        <a:p>
          <a:pPr algn="l" rtl="0">
            <a:defRPr sz="1000"/>
          </a:pPr>
          <a:r>
            <a:rPr lang="en-US" sz="900" b="0" i="0" u="none" strike="noStrike" baseline="0">
              <a:solidFill>
                <a:srgbClr val="000000"/>
              </a:solidFill>
              <a:latin typeface="Arial Narrow" pitchFamily="34" charset="0"/>
              <a:cs typeface="Courier New" pitchFamily="49" charset="0"/>
            </a:rPr>
            <a:t>Inalterado/nada mudou....... 3</a:t>
          </a:r>
        </a:p>
        <a:p>
          <a:pPr algn="l" rtl="0">
            <a:defRPr sz="1000"/>
          </a:pPr>
          <a:r>
            <a:rPr lang="en-US" sz="900" b="0" i="0" u="none" strike="noStrike" baseline="0">
              <a:solidFill>
                <a:srgbClr val="000000"/>
              </a:solidFill>
              <a:latin typeface="Arial Narrow" pitchFamily="34" charset="0"/>
              <a:cs typeface="Courier New" pitchFamily="49" charset="0"/>
            </a:rPr>
            <a:t>Não concernente................ 4</a:t>
          </a:r>
        </a:p>
      </xdr:txBody>
    </xdr:sp>
    <xdr:clientData/>
  </xdr:twoCellAnchor>
  <xdr:twoCellAnchor>
    <xdr:from>
      <xdr:col>3</xdr:col>
      <xdr:colOff>59871</xdr:colOff>
      <xdr:row>1</xdr:row>
      <xdr:rowOff>130628</xdr:rowOff>
    </xdr:from>
    <xdr:to>
      <xdr:col>3</xdr:col>
      <xdr:colOff>821871</xdr:colOff>
      <xdr:row>2</xdr:row>
      <xdr:rowOff>149678</xdr:rowOff>
    </xdr:to>
    <xdr:grpSp>
      <xdr:nvGrpSpPr>
        <xdr:cNvPr id="3" name="Group 310">
          <a:extLst>
            <a:ext uri="{FF2B5EF4-FFF2-40B4-BE49-F238E27FC236}">
              <a16:creationId xmlns:a16="http://schemas.microsoft.com/office/drawing/2014/main" id="{00000000-0008-0000-2C00-000003000000}"/>
            </a:ext>
            <a:ext uri="{147F2762-F138-4A5C-976F-8EAC2B608ADB}">
              <a16:predDERef xmlns:a16="http://schemas.microsoft.com/office/drawing/2014/main" pred="{E5CB0110-9847-4059-BF16-E7F53EA53F06}"/>
            </a:ext>
          </a:extLst>
        </xdr:cNvPr>
        <xdr:cNvGrpSpPr>
          <a:grpSpLocks/>
        </xdr:cNvGrpSpPr>
      </xdr:nvGrpSpPr>
      <xdr:grpSpPr bwMode="auto">
        <a:xfrm>
          <a:off x="3317421" y="302078"/>
          <a:ext cx="762000" cy="190500"/>
          <a:chOff x="292" y="235"/>
          <a:chExt cx="53" cy="31"/>
        </a:xfrm>
      </xdr:grpSpPr>
      <xdr:sp macro="" textlink="">
        <xdr:nvSpPr>
          <xdr:cNvPr id="4" name="Rectangle 1">
            <a:extLst>
              <a:ext uri="{FF2B5EF4-FFF2-40B4-BE49-F238E27FC236}">
                <a16:creationId xmlns:a16="http://schemas.microsoft.com/office/drawing/2014/main" id="{00000000-0008-0000-2C00-000004000000}"/>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5" name="Rectangle 1">
            <a:extLst>
              <a:ext uri="{FF2B5EF4-FFF2-40B4-BE49-F238E27FC236}">
                <a16:creationId xmlns:a16="http://schemas.microsoft.com/office/drawing/2014/main" id="{00000000-0008-0000-2C00-000005000000}"/>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9.xml><?xml version="1.0" encoding="utf-8"?>
<xdr:wsDr xmlns:xdr="http://schemas.openxmlformats.org/drawingml/2006/spreadsheetDrawing" xmlns:a="http://schemas.openxmlformats.org/drawingml/2006/main">
  <xdr:twoCellAnchor>
    <xdr:from>
      <xdr:col>4</xdr:col>
      <xdr:colOff>263769</xdr:colOff>
      <xdr:row>0</xdr:row>
      <xdr:rowOff>175846</xdr:rowOff>
    </xdr:from>
    <xdr:to>
      <xdr:col>4</xdr:col>
      <xdr:colOff>987669</xdr:colOff>
      <xdr:row>2</xdr:row>
      <xdr:rowOff>16119</xdr:rowOff>
    </xdr:to>
    <xdr:grpSp>
      <xdr:nvGrpSpPr>
        <xdr:cNvPr id="2" name="Group 310">
          <a:extLst>
            <a:ext uri="{FF2B5EF4-FFF2-40B4-BE49-F238E27FC236}">
              <a16:creationId xmlns:a16="http://schemas.microsoft.com/office/drawing/2014/main" id="{00000000-0008-0000-2D00-000002000000}"/>
            </a:ext>
          </a:extLst>
        </xdr:cNvPr>
        <xdr:cNvGrpSpPr>
          <a:grpSpLocks/>
        </xdr:cNvGrpSpPr>
      </xdr:nvGrpSpPr>
      <xdr:grpSpPr bwMode="auto">
        <a:xfrm>
          <a:off x="4750044" y="175846"/>
          <a:ext cx="723900" cy="240323"/>
          <a:chOff x="292" y="235"/>
          <a:chExt cx="53" cy="31"/>
        </a:xfrm>
      </xdr:grpSpPr>
      <xdr:sp macro="" textlink="">
        <xdr:nvSpPr>
          <xdr:cNvPr id="3" name="Rectangle 1">
            <a:extLst>
              <a:ext uri="{FF2B5EF4-FFF2-40B4-BE49-F238E27FC236}">
                <a16:creationId xmlns:a16="http://schemas.microsoft.com/office/drawing/2014/main" id="{00000000-0008-0000-2D00-000003000000}"/>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4" name="Rectangle 1">
            <a:extLst>
              <a:ext uri="{FF2B5EF4-FFF2-40B4-BE49-F238E27FC236}">
                <a16:creationId xmlns:a16="http://schemas.microsoft.com/office/drawing/2014/main" id="{00000000-0008-0000-2D00-000004000000}"/>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twoCellAnchor>
    <xdr:from>
      <xdr:col>19</xdr:col>
      <xdr:colOff>0</xdr:colOff>
      <xdr:row>1</xdr:row>
      <xdr:rowOff>0</xdr:rowOff>
    </xdr:from>
    <xdr:to>
      <xdr:col>21</xdr:col>
      <xdr:colOff>79131</xdr:colOff>
      <xdr:row>2</xdr:row>
      <xdr:rowOff>38100</xdr:rowOff>
    </xdr:to>
    <xdr:grpSp>
      <xdr:nvGrpSpPr>
        <xdr:cNvPr id="5" name="Group 310">
          <a:extLst>
            <a:ext uri="{FF2B5EF4-FFF2-40B4-BE49-F238E27FC236}">
              <a16:creationId xmlns:a16="http://schemas.microsoft.com/office/drawing/2014/main" id="{00000000-0008-0000-2D00-000005000000}"/>
            </a:ext>
          </a:extLst>
        </xdr:cNvPr>
        <xdr:cNvGrpSpPr>
          <a:grpSpLocks/>
        </xdr:cNvGrpSpPr>
      </xdr:nvGrpSpPr>
      <xdr:grpSpPr bwMode="auto">
        <a:xfrm>
          <a:off x="16640175" y="200025"/>
          <a:ext cx="974481" cy="238125"/>
          <a:chOff x="292" y="235"/>
          <a:chExt cx="53" cy="31"/>
        </a:xfrm>
      </xdr:grpSpPr>
      <xdr:sp macro="" textlink="">
        <xdr:nvSpPr>
          <xdr:cNvPr id="6" name="Rectangle 1">
            <a:extLst>
              <a:ext uri="{FF2B5EF4-FFF2-40B4-BE49-F238E27FC236}">
                <a16:creationId xmlns:a16="http://schemas.microsoft.com/office/drawing/2014/main" id="{00000000-0008-0000-2D00-000006000000}"/>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7" name="Rectangle 1">
            <a:extLst>
              <a:ext uri="{FF2B5EF4-FFF2-40B4-BE49-F238E27FC236}">
                <a16:creationId xmlns:a16="http://schemas.microsoft.com/office/drawing/2014/main" id="{00000000-0008-0000-2D00-000007000000}"/>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340518</xdr:colOff>
      <xdr:row>2</xdr:row>
      <xdr:rowOff>45244</xdr:rowOff>
    </xdr:from>
    <xdr:to>
      <xdr:col>4</xdr:col>
      <xdr:colOff>635793</xdr:colOff>
      <xdr:row>3</xdr:row>
      <xdr:rowOff>207169</xdr:rowOff>
    </xdr:to>
    <xdr:sp macro="" textlink="">
      <xdr:nvSpPr>
        <xdr:cNvPr id="2432268" name="Rectangle 1">
          <a:extLst>
            <a:ext uri="{FF2B5EF4-FFF2-40B4-BE49-F238E27FC236}">
              <a16:creationId xmlns:a16="http://schemas.microsoft.com/office/drawing/2014/main" id="{00000000-0008-0000-2E00-00000C1D2500}"/>
            </a:ext>
          </a:extLst>
        </xdr:cNvPr>
        <xdr:cNvSpPr>
          <a:spLocks noChangeArrowheads="1"/>
        </xdr:cNvSpPr>
      </xdr:nvSpPr>
      <xdr:spPr bwMode="auto">
        <a:xfrm>
          <a:off x="5274468" y="673894"/>
          <a:ext cx="295275" cy="476250"/>
        </a:xfrm>
        <a:prstGeom prst="rect">
          <a:avLst/>
        </a:prstGeom>
        <a:solidFill>
          <a:srgbClr val="FFFFFF"/>
        </a:solidFill>
        <a:ln w="9525" algn="ctr">
          <a:solidFill>
            <a:srgbClr val="000000"/>
          </a:solidFill>
          <a:round/>
          <a:headEnd/>
          <a:tailEnd/>
        </a:ln>
      </xdr:spPr>
    </xdr:sp>
    <xdr:clientData/>
  </xdr:twoCellAnchor>
</xdr:wsDr>
</file>

<file path=xl/drawings/drawing11.xml><?xml version="1.0" encoding="utf-8"?>
<xdr:wsDr xmlns:xdr="http://schemas.openxmlformats.org/drawingml/2006/spreadsheetDrawing" xmlns:a="http://schemas.openxmlformats.org/drawingml/2006/main">
  <xdr:twoCellAnchor>
    <xdr:from>
      <xdr:col>6</xdr:col>
      <xdr:colOff>504825</xdr:colOff>
      <xdr:row>0</xdr:row>
      <xdr:rowOff>123825</xdr:rowOff>
    </xdr:from>
    <xdr:to>
      <xdr:col>7</xdr:col>
      <xdr:colOff>361950</xdr:colOff>
      <xdr:row>2</xdr:row>
      <xdr:rowOff>28575</xdr:rowOff>
    </xdr:to>
    <xdr:grpSp>
      <xdr:nvGrpSpPr>
        <xdr:cNvPr id="3392662" name="Group 310">
          <a:extLst>
            <a:ext uri="{FF2B5EF4-FFF2-40B4-BE49-F238E27FC236}">
              <a16:creationId xmlns:a16="http://schemas.microsoft.com/office/drawing/2014/main" id="{00000000-0008-0000-2F00-000096C43300}"/>
            </a:ext>
          </a:extLst>
        </xdr:cNvPr>
        <xdr:cNvGrpSpPr>
          <a:grpSpLocks/>
        </xdr:cNvGrpSpPr>
      </xdr:nvGrpSpPr>
      <xdr:grpSpPr bwMode="auto">
        <a:xfrm>
          <a:off x="5219700" y="123825"/>
          <a:ext cx="990600" cy="228600"/>
          <a:chOff x="292" y="235"/>
          <a:chExt cx="53" cy="31"/>
        </a:xfrm>
      </xdr:grpSpPr>
      <xdr:sp macro="" textlink="">
        <xdr:nvSpPr>
          <xdr:cNvPr id="3392663" name="Rectangle 1">
            <a:extLst>
              <a:ext uri="{FF2B5EF4-FFF2-40B4-BE49-F238E27FC236}">
                <a16:creationId xmlns:a16="http://schemas.microsoft.com/office/drawing/2014/main" id="{00000000-0008-0000-2F00-000097C43300}"/>
              </a:ext>
            </a:extLst>
          </xdr:cNvPr>
          <xdr:cNvSpPr>
            <a:spLocks noChangeArrowheads="1"/>
          </xdr:cNvSpPr>
        </xdr:nvSpPr>
        <xdr:spPr bwMode="auto">
          <a:xfrm>
            <a:off x="292" y="235"/>
            <a:ext cx="26" cy="31"/>
          </a:xfrm>
          <a:prstGeom prst="rect">
            <a:avLst/>
          </a:prstGeom>
          <a:solidFill>
            <a:srgbClr val="FFFFFF"/>
          </a:solidFill>
          <a:ln w="9525">
            <a:solidFill>
              <a:srgbClr val="000000"/>
            </a:solidFill>
            <a:miter lim="800000"/>
            <a:headEnd/>
            <a:tailEnd/>
          </a:ln>
        </xdr:spPr>
      </xdr:sp>
      <xdr:sp macro="" textlink="">
        <xdr:nvSpPr>
          <xdr:cNvPr id="3392664" name="Rectangle 1">
            <a:extLst>
              <a:ext uri="{FF2B5EF4-FFF2-40B4-BE49-F238E27FC236}">
                <a16:creationId xmlns:a16="http://schemas.microsoft.com/office/drawing/2014/main" id="{00000000-0008-0000-2F00-000098C43300}"/>
              </a:ext>
            </a:extLst>
          </xdr:cNvPr>
          <xdr:cNvSpPr>
            <a:spLocks noChangeArrowheads="1"/>
          </xdr:cNvSpPr>
        </xdr:nvSpPr>
        <xdr:spPr bwMode="auto">
          <a:xfrm>
            <a:off x="319" y="235"/>
            <a:ext cx="26" cy="31"/>
          </a:xfrm>
          <a:prstGeom prst="rect">
            <a:avLst/>
          </a:prstGeom>
          <a:solidFill>
            <a:srgbClr val="FFFFFF"/>
          </a:solidFill>
          <a:ln w="9525">
            <a:solidFill>
              <a:srgbClr val="000000"/>
            </a:solidFill>
            <a:miter lim="800000"/>
            <a:headEnd/>
            <a:tailEnd/>
          </a:ln>
        </xdr:spPr>
      </xdr:sp>
    </xdr:grpSp>
    <xdr:clientData/>
  </xdr:twoCellAnchor>
</xdr:wsDr>
</file>

<file path=xl/drawings/drawing12.xml><?xml version="1.0" encoding="utf-8"?>
<xdr:wsDr xmlns:xdr="http://schemas.openxmlformats.org/drawingml/2006/spreadsheetDrawing" xmlns:a="http://schemas.openxmlformats.org/drawingml/2006/main">
  <xdr:twoCellAnchor>
    <xdr:from>
      <xdr:col>15</xdr:col>
      <xdr:colOff>19050</xdr:colOff>
      <xdr:row>1</xdr:row>
      <xdr:rowOff>200025</xdr:rowOff>
    </xdr:from>
    <xdr:to>
      <xdr:col>16</xdr:col>
      <xdr:colOff>28575</xdr:colOff>
      <xdr:row>3</xdr:row>
      <xdr:rowOff>66675</xdr:rowOff>
    </xdr:to>
    <xdr:sp macro="" textlink="">
      <xdr:nvSpPr>
        <xdr:cNvPr id="3393586" name="Rectangle 1">
          <a:extLst>
            <a:ext uri="{FF2B5EF4-FFF2-40B4-BE49-F238E27FC236}">
              <a16:creationId xmlns:a16="http://schemas.microsoft.com/office/drawing/2014/main" id="{00000000-0008-0000-3200-000032C83300}"/>
            </a:ext>
          </a:extLst>
        </xdr:cNvPr>
        <xdr:cNvSpPr>
          <a:spLocks noChangeArrowheads="1"/>
        </xdr:cNvSpPr>
      </xdr:nvSpPr>
      <xdr:spPr bwMode="auto">
        <a:xfrm>
          <a:off x="7019925" y="409575"/>
          <a:ext cx="342900" cy="285750"/>
        </a:xfrm>
        <a:prstGeom prst="rect">
          <a:avLst/>
        </a:prstGeom>
        <a:solidFill>
          <a:srgbClr val="FFFFFF"/>
        </a:solidFill>
        <a:ln w="9525">
          <a:solidFill>
            <a:srgbClr val="000000"/>
          </a:solidFill>
          <a:round/>
          <a:headEnd/>
          <a:tailEnd/>
        </a:ln>
      </xdr:spPr>
    </xdr:sp>
    <xdr:clientData/>
  </xdr:twoCellAnchor>
</xdr:wsDr>
</file>

<file path=xl/drawings/drawing13.xml><?xml version="1.0" encoding="utf-8"?>
<xdr:wsDr xmlns:xdr="http://schemas.openxmlformats.org/drawingml/2006/spreadsheetDrawing" xmlns:a="http://schemas.openxmlformats.org/drawingml/2006/main">
  <xdr:twoCellAnchor>
    <xdr:from>
      <xdr:col>12</xdr:col>
      <xdr:colOff>0</xdr:colOff>
      <xdr:row>5</xdr:row>
      <xdr:rowOff>104775</xdr:rowOff>
    </xdr:from>
    <xdr:to>
      <xdr:col>13</xdr:col>
      <xdr:colOff>114300</xdr:colOff>
      <xdr:row>7</xdr:row>
      <xdr:rowOff>66675</xdr:rowOff>
    </xdr:to>
    <xdr:sp macro="" textlink="">
      <xdr:nvSpPr>
        <xdr:cNvPr id="3406700" name="Rectangle 1">
          <a:extLst>
            <a:ext uri="{FF2B5EF4-FFF2-40B4-BE49-F238E27FC236}">
              <a16:creationId xmlns:a16="http://schemas.microsoft.com/office/drawing/2014/main" id="{00000000-0008-0000-3300-00006CFB3300}"/>
            </a:ext>
          </a:extLst>
        </xdr:cNvPr>
        <xdr:cNvSpPr>
          <a:spLocks noChangeArrowheads="1"/>
        </xdr:cNvSpPr>
      </xdr:nvSpPr>
      <xdr:spPr bwMode="auto">
        <a:xfrm>
          <a:off x="3076575" y="990600"/>
          <a:ext cx="361950" cy="304800"/>
        </a:xfrm>
        <a:prstGeom prst="rect">
          <a:avLst/>
        </a:prstGeom>
        <a:solidFill>
          <a:srgbClr val="FFFFFF"/>
        </a:solidFill>
        <a:ln w="9525" algn="ctr">
          <a:solidFill>
            <a:srgbClr val="000000"/>
          </a:solidFill>
          <a:round/>
          <a:headEnd/>
          <a:tailEnd/>
        </a:ln>
      </xdr:spPr>
    </xdr:sp>
    <xdr:clientData/>
  </xdr:twoCellAnchor>
  <xdr:twoCellAnchor>
    <xdr:from>
      <xdr:col>9</xdr:col>
      <xdr:colOff>161925</xdr:colOff>
      <xdr:row>8</xdr:row>
      <xdr:rowOff>161925</xdr:rowOff>
    </xdr:from>
    <xdr:to>
      <xdr:col>11</xdr:col>
      <xdr:colOff>28575</xdr:colOff>
      <xdr:row>10</xdr:row>
      <xdr:rowOff>123825</xdr:rowOff>
    </xdr:to>
    <xdr:sp macro="" textlink="">
      <xdr:nvSpPr>
        <xdr:cNvPr id="3406701" name="Rectangle 3">
          <a:extLst>
            <a:ext uri="{FF2B5EF4-FFF2-40B4-BE49-F238E27FC236}">
              <a16:creationId xmlns:a16="http://schemas.microsoft.com/office/drawing/2014/main" id="{00000000-0008-0000-3300-00006DFB3300}"/>
            </a:ext>
          </a:extLst>
        </xdr:cNvPr>
        <xdr:cNvSpPr>
          <a:spLocks noChangeArrowheads="1"/>
        </xdr:cNvSpPr>
      </xdr:nvSpPr>
      <xdr:spPr bwMode="auto">
        <a:xfrm>
          <a:off x="2495550" y="1562100"/>
          <a:ext cx="361950" cy="304800"/>
        </a:xfrm>
        <a:prstGeom prst="rect">
          <a:avLst/>
        </a:prstGeom>
        <a:solidFill>
          <a:srgbClr val="FFFFFF"/>
        </a:solidFill>
        <a:ln w="9525" algn="ctr">
          <a:solidFill>
            <a:srgbClr val="000000"/>
          </a:solidFill>
          <a:round/>
          <a:headEnd/>
          <a:tailEnd/>
        </a:ln>
      </xdr:spPr>
    </xdr:sp>
    <xdr:clientData/>
  </xdr:twoCellAnchor>
  <xdr:twoCellAnchor>
    <xdr:from>
      <xdr:col>11</xdr:col>
      <xdr:colOff>76200</xdr:colOff>
      <xdr:row>8</xdr:row>
      <xdr:rowOff>161925</xdr:rowOff>
    </xdr:from>
    <xdr:to>
      <xdr:col>12</xdr:col>
      <xdr:colOff>190500</xdr:colOff>
      <xdr:row>10</xdr:row>
      <xdr:rowOff>123825</xdr:rowOff>
    </xdr:to>
    <xdr:sp macro="" textlink="">
      <xdr:nvSpPr>
        <xdr:cNvPr id="3406702" name="Rectangle 4">
          <a:extLst>
            <a:ext uri="{FF2B5EF4-FFF2-40B4-BE49-F238E27FC236}">
              <a16:creationId xmlns:a16="http://schemas.microsoft.com/office/drawing/2014/main" id="{00000000-0008-0000-3300-00006EFB3300}"/>
            </a:ext>
          </a:extLst>
        </xdr:cNvPr>
        <xdr:cNvSpPr>
          <a:spLocks noChangeArrowheads="1"/>
        </xdr:cNvSpPr>
      </xdr:nvSpPr>
      <xdr:spPr bwMode="auto">
        <a:xfrm>
          <a:off x="2905125" y="1562100"/>
          <a:ext cx="361950" cy="304800"/>
        </a:xfrm>
        <a:prstGeom prst="rect">
          <a:avLst/>
        </a:prstGeom>
        <a:solidFill>
          <a:srgbClr val="FFFFFF"/>
        </a:solidFill>
        <a:ln w="9525" algn="ctr">
          <a:solidFill>
            <a:srgbClr val="000000"/>
          </a:solidFill>
          <a:round/>
          <a:headEnd/>
          <a:tailEnd/>
        </a:ln>
      </xdr:spPr>
    </xdr:sp>
    <xdr:clientData/>
  </xdr:twoCellAnchor>
  <xdr:twoCellAnchor>
    <xdr:from>
      <xdr:col>12</xdr:col>
      <xdr:colOff>9525</xdr:colOff>
      <xdr:row>13</xdr:row>
      <xdr:rowOff>104775</xdr:rowOff>
    </xdr:from>
    <xdr:to>
      <xdr:col>13</xdr:col>
      <xdr:colOff>123825</xdr:colOff>
      <xdr:row>17</xdr:row>
      <xdr:rowOff>66675</xdr:rowOff>
    </xdr:to>
    <xdr:sp macro="" textlink="">
      <xdr:nvSpPr>
        <xdr:cNvPr id="3406703" name="Rectangle 5">
          <a:extLst>
            <a:ext uri="{FF2B5EF4-FFF2-40B4-BE49-F238E27FC236}">
              <a16:creationId xmlns:a16="http://schemas.microsoft.com/office/drawing/2014/main" id="{00000000-0008-0000-3300-00006FFB3300}"/>
            </a:ext>
          </a:extLst>
        </xdr:cNvPr>
        <xdr:cNvSpPr>
          <a:spLocks noChangeArrowheads="1"/>
        </xdr:cNvSpPr>
      </xdr:nvSpPr>
      <xdr:spPr bwMode="auto">
        <a:xfrm>
          <a:off x="3086100" y="2362200"/>
          <a:ext cx="361950" cy="304800"/>
        </a:xfrm>
        <a:prstGeom prst="rect">
          <a:avLst/>
        </a:prstGeom>
        <a:solidFill>
          <a:srgbClr val="FFFFFF"/>
        </a:solidFill>
        <a:ln w="9525" algn="ctr">
          <a:solidFill>
            <a:srgbClr val="000000"/>
          </a:solidFill>
          <a:round/>
          <a:headEnd/>
          <a:tailEnd/>
        </a:ln>
      </xdr:spPr>
    </xdr:sp>
    <xdr:clientData/>
  </xdr:twoCellAnchor>
  <xdr:twoCellAnchor>
    <xdr:from>
      <xdr:col>12</xdr:col>
      <xdr:colOff>0</xdr:colOff>
      <xdr:row>24</xdr:row>
      <xdr:rowOff>95250</xdr:rowOff>
    </xdr:from>
    <xdr:to>
      <xdr:col>13</xdr:col>
      <xdr:colOff>114300</xdr:colOff>
      <xdr:row>26</xdr:row>
      <xdr:rowOff>57150</xdr:rowOff>
    </xdr:to>
    <xdr:sp macro="" textlink="">
      <xdr:nvSpPr>
        <xdr:cNvPr id="3406704" name="Rectangle 6">
          <a:extLst>
            <a:ext uri="{FF2B5EF4-FFF2-40B4-BE49-F238E27FC236}">
              <a16:creationId xmlns:a16="http://schemas.microsoft.com/office/drawing/2014/main" id="{00000000-0008-0000-3300-000070FB3300}"/>
            </a:ext>
          </a:extLst>
        </xdr:cNvPr>
        <xdr:cNvSpPr>
          <a:spLocks noChangeArrowheads="1"/>
        </xdr:cNvSpPr>
      </xdr:nvSpPr>
      <xdr:spPr bwMode="auto">
        <a:xfrm>
          <a:off x="3076575" y="3895725"/>
          <a:ext cx="361950" cy="304800"/>
        </a:xfrm>
        <a:prstGeom prst="rect">
          <a:avLst/>
        </a:prstGeom>
        <a:solidFill>
          <a:srgbClr val="FFFFFF"/>
        </a:solidFill>
        <a:ln w="9525" algn="ctr">
          <a:solidFill>
            <a:srgbClr val="000000"/>
          </a:solidFill>
          <a:round/>
          <a:headEnd/>
          <a:tailEnd/>
        </a:ln>
      </xdr:spPr>
    </xdr:sp>
    <xdr:clientData/>
  </xdr:twoCellAnchor>
  <xdr:twoCellAnchor>
    <xdr:from>
      <xdr:col>12</xdr:col>
      <xdr:colOff>0</xdr:colOff>
      <xdr:row>28</xdr:row>
      <xdr:rowOff>123825</xdr:rowOff>
    </xdr:from>
    <xdr:to>
      <xdr:col>13</xdr:col>
      <xdr:colOff>114300</xdr:colOff>
      <xdr:row>30</xdr:row>
      <xdr:rowOff>85725</xdr:rowOff>
    </xdr:to>
    <xdr:sp macro="" textlink="">
      <xdr:nvSpPr>
        <xdr:cNvPr id="3406705" name="Rectangle 7">
          <a:extLst>
            <a:ext uri="{FF2B5EF4-FFF2-40B4-BE49-F238E27FC236}">
              <a16:creationId xmlns:a16="http://schemas.microsoft.com/office/drawing/2014/main" id="{00000000-0008-0000-3300-000071FB3300}"/>
            </a:ext>
          </a:extLst>
        </xdr:cNvPr>
        <xdr:cNvSpPr>
          <a:spLocks noChangeArrowheads="1"/>
        </xdr:cNvSpPr>
      </xdr:nvSpPr>
      <xdr:spPr bwMode="auto">
        <a:xfrm>
          <a:off x="3076575" y="4610100"/>
          <a:ext cx="361950" cy="304800"/>
        </a:xfrm>
        <a:prstGeom prst="rect">
          <a:avLst/>
        </a:prstGeom>
        <a:solidFill>
          <a:srgbClr val="FFFFFF"/>
        </a:solidFill>
        <a:ln w="9525" algn="ctr">
          <a:solidFill>
            <a:srgbClr val="000000"/>
          </a:solidFill>
          <a:round/>
          <a:headEnd/>
          <a:tailEnd/>
        </a:ln>
      </xdr:spPr>
    </xdr:sp>
    <xdr:clientData/>
  </xdr:twoCellAnchor>
  <xdr:twoCellAnchor>
    <xdr:from>
      <xdr:col>30</xdr:col>
      <xdr:colOff>9525</xdr:colOff>
      <xdr:row>22</xdr:row>
      <xdr:rowOff>104775</xdr:rowOff>
    </xdr:from>
    <xdr:to>
      <xdr:col>31</xdr:col>
      <xdr:colOff>123825</xdr:colOff>
      <xdr:row>24</xdr:row>
      <xdr:rowOff>66675</xdr:rowOff>
    </xdr:to>
    <xdr:sp macro="" textlink="">
      <xdr:nvSpPr>
        <xdr:cNvPr id="3406706" name="Rectangle 8">
          <a:extLst>
            <a:ext uri="{FF2B5EF4-FFF2-40B4-BE49-F238E27FC236}">
              <a16:creationId xmlns:a16="http://schemas.microsoft.com/office/drawing/2014/main" id="{00000000-0008-0000-3300-000072FB3300}"/>
            </a:ext>
          </a:extLst>
        </xdr:cNvPr>
        <xdr:cNvSpPr>
          <a:spLocks noChangeArrowheads="1"/>
        </xdr:cNvSpPr>
      </xdr:nvSpPr>
      <xdr:spPr bwMode="auto">
        <a:xfrm>
          <a:off x="7391400" y="3562350"/>
          <a:ext cx="361950" cy="304800"/>
        </a:xfrm>
        <a:prstGeom prst="rect">
          <a:avLst/>
        </a:prstGeom>
        <a:solidFill>
          <a:srgbClr val="FFFFFF"/>
        </a:solidFill>
        <a:ln w="9525" algn="ctr">
          <a:solidFill>
            <a:srgbClr val="000000"/>
          </a:solidFill>
          <a:round/>
          <a:headEnd/>
          <a:tailEnd/>
        </a:ln>
      </xdr:spPr>
    </xdr:sp>
    <xdr:clientData/>
  </xdr:twoCellAnchor>
  <xdr:twoCellAnchor>
    <xdr:from>
      <xdr:col>22</xdr:col>
      <xdr:colOff>0</xdr:colOff>
      <xdr:row>30</xdr:row>
      <xdr:rowOff>157162</xdr:rowOff>
    </xdr:from>
    <xdr:to>
      <xdr:col>32</xdr:col>
      <xdr:colOff>85725</xdr:colOff>
      <xdr:row>32</xdr:row>
      <xdr:rowOff>8503</xdr:rowOff>
    </xdr:to>
    <xdr:grpSp>
      <xdr:nvGrpSpPr>
        <xdr:cNvPr id="3406707" name="Groupe 93">
          <a:extLst>
            <a:ext uri="{FF2B5EF4-FFF2-40B4-BE49-F238E27FC236}">
              <a16:creationId xmlns:a16="http://schemas.microsoft.com/office/drawing/2014/main" id="{00000000-0008-0000-3300-000073FB3300}"/>
            </a:ext>
          </a:extLst>
        </xdr:cNvPr>
        <xdr:cNvGrpSpPr>
          <a:grpSpLocks/>
        </xdr:cNvGrpSpPr>
      </xdr:nvGrpSpPr>
      <xdr:grpSpPr bwMode="auto">
        <a:xfrm>
          <a:off x="6181725" y="5329237"/>
          <a:ext cx="2562225" cy="194241"/>
          <a:chOff x="5295900" y="29260800"/>
          <a:chExt cx="2447926" cy="285750"/>
        </a:xfrm>
      </xdr:grpSpPr>
      <xdr:grpSp>
        <xdr:nvGrpSpPr>
          <xdr:cNvPr id="3406729" name="Groupe 24">
            <a:extLst>
              <a:ext uri="{FF2B5EF4-FFF2-40B4-BE49-F238E27FC236}">
                <a16:creationId xmlns:a16="http://schemas.microsoft.com/office/drawing/2014/main" id="{00000000-0008-0000-3300-000089FB3300}"/>
              </a:ext>
            </a:extLst>
          </xdr:cNvPr>
          <xdr:cNvGrpSpPr>
            <a:grpSpLocks/>
          </xdr:cNvGrpSpPr>
        </xdr:nvGrpSpPr>
        <xdr:grpSpPr bwMode="auto">
          <a:xfrm>
            <a:off x="6124574" y="29260800"/>
            <a:ext cx="790576" cy="285750"/>
            <a:chOff x="7439024" y="28575000"/>
            <a:chExt cx="790576" cy="285750"/>
          </a:xfrm>
        </xdr:grpSpPr>
        <xdr:sp macro="" textlink="">
          <xdr:nvSpPr>
            <xdr:cNvPr id="3406736" name="Rectangle 101">
              <a:extLst>
                <a:ext uri="{FF2B5EF4-FFF2-40B4-BE49-F238E27FC236}">
                  <a16:creationId xmlns:a16="http://schemas.microsoft.com/office/drawing/2014/main" id="{00000000-0008-0000-3300-000090FB33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06737" name="Rectangle 102">
              <a:extLst>
                <a:ext uri="{FF2B5EF4-FFF2-40B4-BE49-F238E27FC236}">
                  <a16:creationId xmlns:a16="http://schemas.microsoft.com/office/drawing/2014/main" id="{00000000-0008-0000-3300-000091FB33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06730" name="Groupe 25">
            <a:extLst>
              <a:ext uri="{FF2B5EF4-FFF2-40B4-BE49-F238E27FC236}">
                <a16:creationId xmlns:a16="http://schemas.microsoft.com/office/drawing/2014/main" id="{00000000-0008-0000-3300-00008AFB3300}"/>
              </a:ext>
            </a:extLst>
          </xdr:cNvPr>
          <xdr:cNvGrpSpPr>
            <a:grpSpLocks/>
          </xdr:cNvGrpSpPr>
        </xdr:nvGrpSpPr>
        <xdr:grpSpPr bwMode="auto">
          <a:xfrm>
            <a:off x="5295900" y="29260800"/>
            <a:ext cx="790576" cy="285750"/>
            <a:chOff x="7439024" y="28575000"/>
            <a:chExt cx="790576" cy="285750"/>
          </a:xfrm>
        </xdr:grpSpPr>
        <xdr:sp macro="" textlink="">
          <xdr:nvSpPr>
            <xdr:cNvPr id="3406734" name="Rectangle 99">
              <a:extLst>
                <a:ext uri="{FF2B5EF4-FFF2-40B4-BE49-F238E27FC236}">
                  <a16:creationId xmlns:a16="http://schemas.microsoft.com/office/drawing/2014/main" id="{00000000-0008-0000-3300-00008EFB33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06735" name="Rectangle 100">
              <a:extLst>
                <a:ext uri="{FF2B5EF4-FFF2-40B4-BE49-F238E27FC236}">
                  <a16:creationId xmlns:a16="http://schemas.microsoft.com/office/drawing/2014/main" id="{00000000-0008-0000-3300-00008FFB33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06731" name="Groupe 28">
            <a:extLst>
              <a:ext uri="{FF2B5EF4-FFF2-40B4-BE49-F238E27FC236}">
                <a16:creationId xmlns:a16="http://schemas.microsoft.com/office/drawing/2014/main" id="{00000000-0008-0000-3300-00008BFB3300}"/>
              </a:ext>
            </a:extLst>
          </xdr:cNvPr>
          <xdr:cNvGrpSpPr>
            <a:grpSpLocks/>
          </xdr:cNvGrpSpPr>
        </xdr:nvGrpSpPr>
        <xdr:grpSpPr bwMode="auto">
          <a:xfrm>
            <a:off x="6953250" y="29260800"/>
            <a:ext cx="790576" cy="285750"/>
            <a:chOff x="7439024" y="28575000"/>
            <a:chExt cx="790576" cy="285750"/>
          </a:xfrm>
        </xdr:grpSpPr>
        <xdr:sp macro="" textlink="">
          <xdr:nvSpPr>
            <xdr:cNvPr id="3406732" name="Rectangle 97">
              <a:extLst>
                <a:ext uri="{FF2B5EF4-FFF2-40B4-BE49-F238E27FC236}">
                  <a16:creationId xmlns:a16="http://schemas.microsoft.com/office/drawing/2014/main" id="{00000000-0008-0000-3300-00008CFB33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06733" name="Rectangle 98">
              <a:extLst>
                <a:ext uri="{FF2B5EF4-FFF2-40B4-BE49-F238E27FC236}">
                  <a16:creationId xmlns:a16="http://schemas.microsoft.com/office/drawing/2014/main" id="{00000000-0008-0000-3300-00008DFB33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160903</xdr:colOff>
      <xdr:row>30</xdr:row>
      <xdr:rowOff>147638</xdr:rowOff>
    </xdr:from>
    <xdr:to>
      <xdr:col>33</xdr:col>
      <xdr:colOff>161585</xdr:colOff>
      <xdr:row>32</xdr:row>
      <xdr:rowOff>1020</xdr:rowOff>
    </xdr:to>
    <xdr:sp macro="" textlink="">
      <xdr:nvSpPr>
        <xdr:cNvPr id="3406708" name="Rectangle 102">
          <a:extLst>
            <a:ext uri="{FF2B5EF4-FFF2-40B4-BE49-F238E27FC236}">
              <a16:creationId xmlns:a16="http://schemas.microsoft.com/office/drawing/2014/main" id="{00000000-0008-0000-3300-000074FB3300}"/>
            </a:ext>
          </a:extLst>
        </xdr:cNvPr>
        <xdr:cNvSpPr>
          <a:spLocks noChangeArrowheads="1"/>
        </xdr:cNvSpPr>
      </xdr:nvSpPr>
      <xdr:spPr bwMode="auto">
        <a:xfrm>
          <a:off x="8666728" y="5319713"/>
          <a:ext cx="248332" cy="196282"/>
        </a:xfrm>
        <a:prstGeom prst="rect">
          <a:avLst/>
        </a:prstGeom>
        <a:solidFill>
          <a:srgbClr val="FFFFFF"/>
        </a:solidFill>
        <a:ln w="9525" algn="ctr">
          <a:solidFill>
            <a:srgbClr val="000000"/>
          </a:solidFill>
          <a:round/>
          <a:headEnd/>
          <a:tailEnd/>
        </a:ln>
      </xdr:spPr>
    </xdr:sp>
    <xdr:clientData/>
  </xdr:twoCellAnchor>
  <xdr:twoCellAnchor>
    <xdr:from>
      <xdr:col>31</xdr:col>
      <xdr:colOff>9525</xdr:colOff>
      <xdr:row>6</xdr:row>
      <xdr:rowOff>9525</xdr:rowOff>
    </xdr:from>
    <xdr:to>
      <xdr:col>32</xdr:col>
      <xdr:colOff>76200</xdr:colOff>
      <xdr:row>7</xdr:row>
      <xdr:rowOff>123825</xdr:rowOff>
    </xdr:to>
    <xdr:sp macro="" textlink="">
      <xdr:nvSpPr>
        <xdr:cNvPr id="3406709" name="Rectangle 21">
          <a:extLst>
            <a:ext uri="{FF2B5EF4-FFF2-40B4-BE49-F238E27FC236}">
              <a16:creationId xmlns:a16="http://schemas.microsoft.com/office/drawing/2014/main" id="{00000000-0008-0000-3300-000075FB3300}"/>
            </a:ext>
          </a:extLst>
        </xdr:cNvPr>
        <xdr:cNvSpPr>
          <a:spLocks noChangeArrowheads="1"/>
        </xdr:cNvSpPr>
      </xdr:nvSpPr>
      <xdr:spPr bwMode="auto">
        <a:xfrm>
          <a:off x="7639050" y="1066800"/>
          <a:ext cx="314325" cy="285750"/>
        </a:xfrm>
        <a:prstGeom prst="rect">
          <a:avLst/>
        </a:prstGeom>
        <a:solidFill>
          <a:srgbClr val="FFFFFF"/>
        </a:solidFill>
        <a:ln w="9525" algn="ctr">
          <a:solidFill>
            <a:srgbClr val="000000"/>
          </a:solidFill>
          <a:round/>
          <a:headEnd/>
          <a:tailEnd/>
        </a:ln>
      </xdr:spPr>
    </xdr:sp>
    <xdr:clientData/>
  </xdr:twoCellAnchor>
  <xdr:twoCellAnchor>
    <xdr:from>
      <xdr:col>31</xdr:col>
      <xdr:colOff>9525</xdr:colOff>
      <xdr:row>9</xdr:row>
      <xdr:rowOff>0</xdr:rowOff>
    </xdr:from>
    <xdr:to>
      <xdr:col>32</xdr:col>
      <xdr:colOff>76200</xdr:colOff>
      <xdr:row>10</xdr:row>
      <xdr:rowOff>114300</xdr:rowOff>
    </xdr:to>
    <xdr:sp macro="" textlink="">
      <xdr:nvSpPr>
        <xdr:cNvPr id="3406710" name="Rectangle 22">
          <a:extLst>
            <a:ext uri="{FF2B5EF4-FFF2-40B4-BE49-F238E27FC236}">
              <a16:creationId xmlns:a16="http://schemas.microsoft.com/office/drawing/2014/main" id="{00000000-0008-0000-3300-000076FB3300}"/>
            </a:ext>
          </a:extLst>
        </xdr:cNvPr>
        <xdr:cNvSpPr>
          <a:spLocks noChangeArrowheads="1"/>
        </xdr:cNvSpPr>
      </xdr:nvSpPr>
      <xdr:spPr bwMode="auto">
        <a:xfrm>
          <a:off x="7639050" y="1571625"/>
          <a:ext cx="314325" cy="285750"/>
        </a:xfrm>
        <a:prstGeom prst="rect">
          <a:avLst/>
        </a:prstGeom>
        <a:solidFill>
          <a:srgbClr val="FFFFFF"/>
        </a:solidFill>
        <a:ln w="9525" algn="ctr">
          <a:solidFill>
            <a:srgbClr val="000000"/>
          </a:solidFill>
          <a:round/>
          <a:headEnd/>
          <a:tailEnd/>
        </a:ln>
      </xdr:spPr>
    </xdr:sp>
    <xdr:clientData/>
  </xdr:twoCellAnchor>
  <xdr:twoCellAnchor>
    <xdr:from>
      <xdr:col>31</xdr:col>
      <xdr:colOff>9525</xdr:colOff>
      <xdr:row>12</xdr:row>
      <xdr:rowOff>0</xdr:rowOff>
    </xdr:from>
    <xdr:to>
      <xdr:col>32</xdr:col>
      <xdr:colOff>76200</xdr:colOff>
      <xdr:row>13</xdr:row>
      <xdr:rowOff>114300</xdr:rowOff>
    </xdr:to>
    <xdr:sp macro="" textlink="">
      <xdr:nvSpPr>
        <xdr:cNvPr id="3406711" name="Rectangle 23">
          <a:extLst>
            <a:ext uri="{FF2B5EF4-FFF2-40B4-BE49-F238E27FC236}">
              <a16:creationId xmlns:a16="http://schemas.microsoft.com/office/drawing/2014/main" id="{00000000-0008-0000-3300-000077FB3300}"/>
            </a:ext>
          </a:extLst>
        </xdr:cNvPr>
        <xdr:cNvSpPr>
          <a:spLocks noChangeArrowheads="1"/>
        </xdr:cNvSpPr>
      </xdr:nvSpPr>
      <xdr:spPr bwMode="auto">
        <a:xfrm>
          <a:off x="7639050" y="2085975"/>
          <a:ext cx="314325" cy="285750"/>
        </a:xfrm>
        <a:prstGeom prst="rect">
          <a:avLst/>
        </a:prstGeom>
        <a:solidFill>
          <a:srgbClr val="FFFFFF"/>
        </a:solidFill>
        <a:ln w="9525" algn="ctr">
          <a:solidFill>
            <a:srgbClr val="000000"/>
          </a:solidFill>
          <a:round/>
          <a:headEnd/>
          <a:tailEnd/>
        </a:ln>
      </xdr:spPr>
    </xdr:sp>
    <xdr:clientData/>
  </xdr:twoCellAnchor>
  <xdr:twoCellAnchor>
    <xdr:from>
      <xdr:col>3</xdr:col>
      <xdr:colOff>133350</xdr:colOff>
      <xdr:row>9</xdr:row>
      <xdr:rowOff>9525</xdr:rowOff>
    </xdr:from>
    <xdr:to>
      <xdr:col>5</xdr:col>
      <xdr:colOff>0</xdr:colOff>
      <xdr:row>10</xdr:row>
      <xdr:rowOff>142875</xdr:rowOff>
    </xdr:to>
    <xdr:sp macro="" textlink="">
      <xdr:nvSpPr>
        <xdr:cNvPr id="3406712" name="Rectangle 24">
          <a:extLst>
            <a:ext uri="{FF2B5EF4-FFF2-40B4-BE49-F238E27FC236}">
              <a16:creationId xmlns:a16="http://schemas.microsoft.com/office/drawing/2014/main" id="{00000000-0008-0000-3300-000078FB3300}"/>
            </a:ext>
          </a:extLst>
        </xdr:cNvPr>
        <xdr:cNvSpPr>
          <a:spLocks noChangeArrowheads="1"/>
        </xdr:cNvSpPr>
      </xdr:nvSpPr>
      <xdr:spPr bwMode="auto">
        <a:xfrm>
          <a:off x="981075" y="1581150"/>
          <a:ext cx="361950" cy="304800"/>
        </a:xfrm>
        <a:prstGeom prst="rect">
          <a:avLst/>
        </a:prstGeom>
        <a:solidFill>
          <a:srgbClr val="FFFFFF"/>
        </a:solidFill>
        <a:ln w="9525" algn="ctr">
          <a:solidFill>
            <a:srgbClr val="000000"/>
          </a:solidFill>
          <a:round/>
          <a:headEnd/>
          <a:tailEnd/>
        </a:ln>
      </xdr:spPr>
    </xdr:sp>
    <xdr:clientData/>
  </xdr:twoCellAnchor>
  <xdr:twoCellAnchor>
    <xdr:from>
      <xdr:col>5</xdr:col>
      <xdr:colOff>47625</xdr:colOff>
      <xdr:row>9</xdr:row>
      <xdr:rowOff>9525</xdr:rowOff>
    </xdr:from>
    <xdr:to>
      <xdr:col>6</xdr:col>
      <xdr:colOff>161925</xdr:colOff>
      <xdr:row>10</xdr:row>
      <xdr:rowOff>142875</xdr:rowOff>
    </xdr:to>
    <xdr:sp macro="" textlink="">
      <xdr:nvSpPr>
        <xdr:cNvPr id="3406713" name="Rectangle 25">
          <a:extLst>
            <a:ext uri="{FF2B5EF4-FFF2-40B4-BE49-F238E27FC236}">
              <a16:creationId xmlns:a16="http://schemas.microsoft.com/office/drawing/2014/main" id="{00000000-0008-0000-3300-000079FB3300}"/>
            </a:ext>
          </a:extLst>
        </xdr:cNvPr>
        <xdr:cNvSpPr>
          <a:spLocks noChangeArrowheads="1"/>
        </xdr:cNvSpPr>
      </xdr:nvSpPr>
      <xdr:spPr bwMode="auto">
        <a:xfrm>
          <a:off x="1390650" y="1581150"/>
          <a:ext cx="361950" cy="304800"/>
        </a:xfrm>
        <a:prstGeom prst="rect">
          <a:avLst/>
        </a:prstGeom>
        <a:solidFill>
          <a:srgbClr val="FFFFFF"/>
        </a:solidFill>
        <a:ln w="9525" algn="ctr">
          <a:solidFill>
            <a:srgbClr val="000000"/>
          </a:solidFill>
          <a:round/>
          <a:headEnd/>
          <a:tailEnd/>
        </a:ln>
      </xdr:spPr>
    </xdr:sp>
    <xdr:clientData/>
  </xdr:twoCellAnchor>
  <xdr:twoCellAnchor>
    <xdr:from>
      <xdr:col>15</xdr:col>
      <xdr:colOff>85725</xdr:colOff>
      <xdr:row>8</xdr:row>
      <xdr:rowOff>161925</xdr:rowOff>
    </xdr:from>
    <xdr:to>
      <xdr:col>16</xdr:col>
      <xdr:colOff>200025</xdr:colOff>
      <xdr:row>10</xdr:row>
      <xdr:rowOff>123825</xdr:rowOff>
    </xdr:to>
    <xdr:sp macro="" textlink="">
      <xdr:nvSpPr>
        <xdr:cNvPr id="3406714" name="Rectangle 26">
          <a:extLst>
            <a:ext uri="{FF2B5EF4-FFF2-40B4-BE49-F238E27FC236}">
              <a16:creationId xmlns:a16="http://schemas.microsoft.com/office/drawing/2014/main" id="{00000000-0008-0000-3300-00007AFB3300}"/>
            </a:ext>
          </a:extLst>
        </xdr:cNvPr>
        <xdr:cNvSpPr>
          <a:spLocks noChangeArrowheads="1"/>
        </xdr:cNvSpPr>
      </xdr:nvSpPr>
      <xdr:spPr bwMode="auto">
        <a:xfrm>
          <a:off x="3905250" y="1562100"/>
          <a:ext cx="361950" cy="304800"/>
        </a:xfrm>
        <a:prstGeom prst="rect">
          <a:avLst/>
        </a:prstGeom>
        <a:solidFill>
          <a:srgbClr val="FFFFFF"/>
        </a:solidFill>
        <a:ln w="9525" algn="ctr">
          <a:solidFill>
            <a:srgbClr val="000000"/>
          </a:solidFill>
          <a:round/>
          <a:headEnd/>
          <a:tailEnd/>
        </a:ln>
      </xdr:spPr>
    </xdr:sp>
    <xdr:clientData/>
  </xdr:twoCellAnchor>
  <xdr:twoCellAnchor>
    <xdr:from>
      <xdr:col>17</xdr:col>
      <xdr:colOff>0</xdr:colOff>
      <xdr:row>8</xdr:row>
      <xdr:rowOff>161925</xdr:rowOff>
    </xdr:from>
    <xdr:to>
      <xdr:col>18</xdr:col>
      <xdr:colOff>114300</xdr:colOff>
      <xdr:row>10</xdr:row>
      <xdr:rowOff>123825</xdr:rowOff>
    </xdr:to>
    <xdr:sp macro="" textlink="">
      <xdr:nvSpPr>
        <xdr:cNvPr id="3406715" name="Rectangle 27">
          <a:extLst>
            <a:ext uri="{FF2B5EF4-FFF2-40B4-BE49-F238E27FC236}">
              <a16:creationId xmlns:a16="http://schemas.microsoft.com/office/drawing/2014/main" id="{00000000-0008-0000-3300-00007BFB3300}"/>
            </a:ext>
          </a:extLst>
        </xdr:cNvPr>
        <xdr:cNvSpPr>
          <a:spLocks noChangeArrowheads="1"/>
        </xdr:cNvSpPr>
      </xdr:nvSpPr>
      <xdr:spPr bwMode="auto">
        <a:xfrm>
          <a:off x="4314825" y="1562100"/>
          <a:ext cx="361950" cy="304800"/>
        </a:xfrm>
        <a:prstGeom prst="rect">
          <a:avLst/>
        </a:prstGeom>
        <a:solidFill>
          <a:srgbClr val="FFFFFF"/>
        </a:solidFill>
        <a:ln w="9525" algn="ctr">
          <a:solidFill>
            <a:srgbClr val="000000"/>
          </a:solidFill>
          <a:round/>
          <a:headEnd/>
          <a:tailEnd/>
        </a:ln>
      </xdr:spPr>
    </xdr:sp>
    <xdr:clientData/>
  </xdr:twoCellAnchor>
  <xdr:twoCellAnchor>
    <xdr:from>
      <xdr:col>10</xdr:col>
      <xdr:colOff>34738</xdr:colOff>
      <xdr:row>1</xdr:row>
      <xdr:rowOff>123825</xdr:rowOff>
    </xdr:from>
    <xdr:to>
      <xdr:col>11</xdr:col>
      <xdr:colOff>149038</xdr:colOff>
      <xdr:row>3</xdr:row>
      <xdr:rowOff>85725</xdr:rowOff>
    </xdr:to>
    <xdr:sp macro="" textlink="">
      <xdr:nvSpPr>
        <xdr:cNvPr id="3406716" name="Rectangle 28">
          <a:extLst>
            <a:ext uri="{FF2B5EF4-FFF2-40B4-BE49-F238E27FC236}">
              <a16:creationId xmlns:a16="http://schemas.microsoft.com/office/drawing/2014/main" id="{00000000-0008-0000-3300-00007CFB3300}"/>
            </a:ext>
          </a:extLst>
        </xdr:cNvPr>
        <xdr:cNvSpPr>
          <a:spLocks noChangeArrowheads="1"/>
        </xdr:cNvSpPr>
      </xdr:nvSpPr>
      <xdr:spPr bwMode="auto">
        <a:xfrm>
          <a:off x="2591080" y="326932"/>
          <a:ext cx="359429" cy="298076"/>
        </a:xfrm>
        <a:prstGeom prst="rect">
          <a:avLst/>
        </a:prstGeom>
        <a:solidFill>
          <a:srgbClr val="FFFFFF"/>
        </a:solidFill>
        <a:ln w="9525" algn="ctr">
          <a:solidFill>
            <a:srgbClr val="000000"/>
          </a:solidFill>
          <a:round/>
          <a:headEnd/>
          <a:tailEnd/>
        </a:ln>
      </xdr:spPr>
    </xdr:sp>
    <xdr:clientData/>
  </xdr:twoCellAnchor>
  <xdr:twoCellAnchor>
    <xdr:from>
      <xdr:col>12</xdr:col>
      <xdr:colOff>89087</xdr:colOff>
      <xdr:row>1</xdr:row>
      <xdr:rowOff>116821</xdr:rowOff>
    </xdr:from>
    <xdr:to>
      <xdr:col>13</xdr:col>
      <xdr:colOff>203386</xdr:colOff>
      <xdr:row>3</xdr:row>
      <xdr:rowOff>78721</xdr:rowOff>
    </xdr:to>
    <xdr:sp macro="" textlink="">
      <xdr:nvSpPr>
        <xdr:cNvPr id="3406717" name="Rectangle 29">
          <a:extLst>
            <a:ext uri="{FF2B5EF4-FFF2-40B4-BE49-F238E27FC236}">
              <a16:creationId xmlns:a16="http://schemas.microsoft.com/office/drawing/2014/main" id="{00000000-0008-0000-3300-00007DFB3300}"/>
            </a:ext>
          </a:extLst>
        </xdr:cNvPr>
        <xdr:cNvSpPr>
          <a:spLocks noChangeArrowheads="1"/>
        </xdr:cNvSpPr>
      </xdr:nvSpPr>
      <xdr:spPr bwMode="auto">
        <a:xfrm>
          <a:off x="3135686" y="319928"/>
          <a:ext cx="359428" cy="298076"/>
        </a:xfrm>
        <a:prstGeom prst="rect">
          <a:avLst/>
        </a:prstGeom>
        <a:solidFill>
          <a:srgbClr val="FFFFFF"/>
        </a:solidFill>
        <a:ln w="9525" algn="ctr">
          <a:solidFill>
            <a:srgbClr val="000000"/>
          </a:solidFill>
          <a:round/>
          <a:headEnd/>
          <a:tailEnd/>
        </a:ln>
      </xdr:spPr>
    </xdr:sp>
    <xdr:clientData/>
  </xdr:twoCellAnchor>
  <xdr:twoCellAnchor>
    <xdr:from>
      <xdr:col>20</xdr:col>
      <xdr:colOff>327932</xdr:colOff>
      <xdr:row>27</xdr:row>
      <xdr:rowOff>35719</xdr:rowOff>
    </xdr:from>
    <xdr:to>
      <xdr:col>31</xdr:col>
      <xdr:colOff>167707</xdr:colOff>
      <xdr:row>28</xdr:row>
      <xdr:rowOff>167708</xdr:rowOff>
    </xdr:to>
    <xdr:grpSp>
      <xdr:nvGrpSpPr>
        <xdr:cNvPr id="3406718" name="Groupe 93">
          <a:extLst>
            <a:ext uri="{FF2B5EF4-FFF2-40B4-BE49-F238E27FC236}">
              <a16:creationId xmlns:a16="http://schemas.microsoft.com/office/drawing/2014/main" id="{00000000-0008-0000-3300-00007EFB3300}"/>
            </a:ext>
          </a:extLst>
        </xdr:cNvPr>
        <xdr:cNvGrpSpPr>
          <a:grpSpLocks/>
        </xdr:cNvGrpSpPr>
      </xdr:nvGrpSpPr>
      <xdr:grpSpPr bwMode="auto">
        <a:xfrm>
          <a:off x="5690507" y="4693444"/>
          <a:ext cx="2887775" cy="303439"/>
          <a:chOff x="5295900" y="29260800"/>
          <a:chExt cx="2447926" cy="285750"/>
        </a:xfrm>
      </xdr:grpSpPr>
      <xdr:grpSp>
        <xdr:nvGrpSpPr>
          <xdr:cNvPr id="3406720" name="Groupe 24">
            <a:extLst>
              <a:ext uri="{FF2B5EF4-FFF2-40B4-BE49-F238E27FC236}">
                <a16:creationId xmlns:a16="http://schemas.microsoft.com/office/drawing/2014/main" id="{00000000-0008-0000-3300-000080FB3300}"/>
              </a:ext>
            </a:extLst>
          </xdr:cNvPr>
          <xdr:cNvGrpSpPr>
            <a:grpSpLocks/>
          </xdr:cNvGrpSpPr>
        </xdr:nvGrpSpPr>
        <xdr:grpSpPr bwMode="auto">
          <a:xfrm>
            <a:off x="6124574" y="29260800"/>
            <a:ext cx="790576" cy="285750"/>
            <a:chOff x="7439024" y="28575000"/>
            <a:chExt cx="790576" cy="285750"/>
          </a:xfrm>
        </xdr:grpSpPr>
        <xdr:sp macro="" textlink="">
          <xdr:nvSpPr>
            <xdr:cNvPr id="3406727" name="Rectangle 101">
              <a:extLst>
                <a:ext uri="{FF2B5EF4-FFF2-40B4-BE49-F238E27FC236}">
                  <a16:creationId xmlns:a16="http://schemas.microsoft.com/office/drawing/2014/main" id="{00000000-0008-0000-3300-000087FB33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06728" name="Rectangle 102">
              <a:extLst>
                <a:ext uri="{FF2B5EF4-FFF2-40B4-BE49-F238E27FC236}">
                  <a16:creationId xmlns:a16="http://schemas.microsoft.com/office/drawing/2014/main" id="{00000000-0008-0000-3300-000088FB33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06721" name="Groupe 25">
            <a:extLst>
              <a:ext uri="{FF2B5EF4-FFF2-40B4-BE49-F238E27FC236}">
                <a16:creationId xmlns:a16="http://schemas.microsoft.com/office/drawing/2014/main" id="{00000000-0008-0000-3300-000081FB3300}"/>
              </a:ext>
            </a:extLst>
          </xdr:cNvPr>
          <xdr:cNvGrpSpPr>
            <a:grpSpLocks/>
          </xdr:cNvGrpSpPr>
        </xdr:nvGrpSpPr>
        <xdr:grpSpPr bwMode="auto">
          <a:xfrm>
            <a:off x="5295900" y="29260800"/>
            <a:ext cx="790576" cy="285750"/>
            <a:chOff x="7439024" y="28575000"/>
            <a:chExt cx="790576" cy="285750"/>
          </a:xfrm>
        </xdr:grpSpPr>
        <xdr:sp macro="" textlink="">
          <xdr:nvSpPr>
            <xdr:cNvPr id="3406725" name="Rectangle 99">
              <a:extLst>
                <a:ext uri="{FF2B5EF4-FFF2-40B4-BE49-F238E27FC236}">
                  <a16:creationId xmlns:a16="http://schemas.microsoft.com/office/drawing/2014/main" id="{00000000-0008-0000-3300-000085FB33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06726" name="Rectangle 100">
              <a:extLst>
                <a:ext uri="{FF2B5EF4-FFF2-40B4-BE49-F238E27FC236}">
                  <a16:creationId xmlns:a16="http://schemas.microsoft.com/office/drawing/2014/main" id="{00000000-0008-0000-3300-000086FB33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3406722" name="Groupe 28">
            <a:extLst>
              <a:ext uri="{FF2B5EF4-FFF2-40B4-BE49-F238E27FC236}">
                <a16:creationId xmlns:a16="http://schemas.microsoft.com/office/drawing/2014/main" id="{00000000-0008-0000-3300-000082FB3300}"/>
              </a:ext>
            </a:extLst>
          </xdr:cNvPr>
          <xdr:cNvGrpSpPr>
            <a:grpSpLocks/>
          </xdr:cNvGrpSpPr>
        </xdr:nvGrpSpPr>
        <xdr:grpSpPr bwMode="auto">
          <a:xfrm>
            <a:off x="6953250" y="29260800"/>
            <a:ext cx="790576" cy="285750"/>
            <a:chOff x="7439024" y="28575000"/>
            <a:chExt cx="790576" cy="285750"/>
          </a:xfrm>
        </xdr:grpSpPr>
        <xdr:sp macro="" textlink="">
          <xdr:nvSpPr>
            <xdr:cNvPr id="3406723" name="Rectangle 97">
              <a:extLst>
                <a:ext uri="{FF2B5EF4-FFF2-40B4-BE49-F238E27FC236}">
                  <a16:creationId xmlns:a16="http://schemas.microsoft.com/office/drawing/2014/main" id="{00000000-0008-0000-3300-000083FB33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3406724" name="Rectangle 98">
              <a:extLst>
                <a:ext uri="{FF2B5EF4-FFF2-40B4-BE49-F238E27FC236}">
                  <a16:creationId xmlns:a16="http://schemas.microsoft.com/office/drawing/2014/main" id="{00000000-0008-0000-3300-000084FB33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13266</xdr:colOff>
      <xdr:row>27</xdr:row>
      <xdr:rowOff>35718</xdr:rowOff>
    </xdr:from>
    <xdr:to>
      <xdr:col>33</xdr:col>
      <xdr:colOff>108517</xdr:colOff>
      <xdr:row>28</xdr:row>
      <xdr:rowOff>167707</xdr:rowOff>
    </xdr:to>
    <xdr:sp macro="" textlink="">
      <xdr:nvSpPr>
        <xdr:cNvPr id="3406719" name="Rectangle 102">
          <a:extLst>
            <a:ext uri="{FF2B5EF4-FFF2-40B4-BE49-F238E27FC236}">
              <a16:creationId xmlns:a16="http://schemas.microsoft.com/office/drawing/2014/main" id="{00000000-0008-0000-3300-00007FFB3300}"/>
            </a:ext>
          </a:extLst>
        </xdr:cNvPr>
        <xdr:cNvSpPr>
          <a:spLocks noChangeArrowheads="1"/>
        </xdr:cNvSpPr>
      </xdr:nvSpPr>
      <xdr:spPr bwMode="auto">
        <a:xfrm>
          <a:off x="7871391" y="4662147"/>
          <a:ext cx="341880" cy="302078"/>
        </a:xfrm>
        <a:prstGeom prst="rect">
          <a:avLst/>
        </a:prstGeom>
        <a:solidFill>
          <a:srgbClr val="FFFFFF"/>
        </a:solidFill>
        <a:ln w="9525" algn="ctr">
          <a:solidFill>
            <a:srgbClr val="000000"/>
          </a:solidFill>
          <a:round/>
          <a:headEnd/>
          <a:tailEnd/>
        </a:ln>
      </xdr:spPr>
    </xdr:sp>
    <xdr:clientData/>
  </xdr:twoCellAnchor>
  <xdr:twoCellAnchor>
    <xdr:from>
      <xdr:col>21</xdr:col>
      <xdr:colOff>35718</xdr:colOff>
      <xdr:row>34</xdr:row>
      <xdr:rowOff>46265</xdr:rowOff>
    </xdr:from>
    <xdr:to>
      <xdr:col>32</xdr:col>
      <xdr:colOff>72117</xdr:colOff>
      <xdr:row>35</xdr:row>
      <xdr:rowOff>67696</xdr:rowOff>
    </xdr:to>
    <xdr:grpSp>
      <xdr:nvGrpSpPr>
        <xdr:cNvPr id="40" name="Groupe 93">
          <a:extLst>
            <a:ext uri="{FF2B5EF4-FFF2-40B4-BE49-F238E27FC236}">
              <a16:creationId xmlns:a16="http://schemas.microsoft.com/office/drawing/2014/main" id="{00000000-0008-0000-3300-000028000000}"/>
            </a:ext>
          </a:extLst>
        </xdr:cNvPr>
        <xdr:cNvGrpSpPr>
          <a:grpSpLocks/>
        </xdr:cNvGrpSpPr>
      </xdr:nvGrpSpPr>
      <xdr:grpSpPr bwMode="auto">
        <a:xfrm>
          <a:off x="5826918" y="5904140"/>
          <a:ext cx="2903424" cy="211931"/>
          <a:chOff x="5295900" y="29260800"/>
          <a:chExt cx="2447926" cy="285750"/>
        </a:xfrm>
      </xdr:grpSpPr>
      <xdr:grpSp>
        <xdr:nvGrpSpPr>
          <xdr:cNvPr id="41" name="Groupe 24">
            <a:extLst>
              <a:ext uri="{FF2B5EF4-FFF2-40B4-BE49-F238E27FC236}">
                <a16:creationId xmlns:a16="http://schemas.microsoft.com/office/drawing/2014/main" id="{00000000-0008-0000-3300-000029000000}"/>
              </a:ext>
            </a:extLst>
          </xdr:cNvPr>
          <xdr:cNvGrpSpPr>
            <a:grpSpLocks/>
          </xdr:cNvGrpSpPr>
        </xdr:nvGrpSpPr>
        <xdr:grpSpPr bwMode="auto">
          <a:xfrm>
            <a:off x="6124574" y="29260800"/>
            <a:ext cx="790576" cy="285750"/>
            <a:chOff x="7439024" y="28575000"/>
            <a:chExt cx="790576" cy="285750"/>
          </a:xfrm>
        </xdr:grpSpPr>
        <xdr:sp macro="" textlink="">
          <xdr:nvSpPr>
            <xdr:cNvPr id="48" name="Rectangle 101">
              <a:extLst>
                <a:ext uri="{FF2B5EF4-FFF2-40B4-BE49-F238E27FC236}">
                  <a16:creationId xmlns:a16="http://schemas.microsoft.com/office/drawing/2014/main" id="{00000000-0008-0000-3300-000030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9" name="Rectangle 102">
              <a:extLst>
                <a:ext uri="{FF2B5EF4-FFF2-40B4-BE49-F238E27FC236}">
                  <a16:creationId xmlns:a16="http://schemas.microsoft.com/office/drawing/2014/main" id="{00000000-0008-0000-3300-000031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2" name="Groupe 25">
            <a:extLst>
              <a:ext uri="{FF2B5EF4-FFF2-40B4-BE49-F238E27FC236}">
                <a16:creationId xmlns:a16="http://schemas.microsoft.com/office/drawing/2014/main" id="{00000000-0008-0000-3300-00002A000000}"/>
              </a:ext>
            </a:extLst>
          </xdr:cNvPr>
          <xdr:cNvGrpSpPr>
            <a:grpSpLocks/>
          </xdr:cNvGrpSpPr>
        </xdr:nvGrpSpPr>
        <xdr:grpSpPr bwMode="auto">
          <a:xfrm>
            <a:off x="5295900" y="29260800"/>
            <a:ext cx="790576" cy="285750"/>
            <a:chOff x="7439024" y="28575000"/>
            <a:chExt cx="790576" cy="285750"/>
          </a:xfrm>
        </xdr:grpSpPr>
        <xdr:sp macro="" textlink="">
          <xdr:nvSpPr>
            <xdr:cNvPr id="46" name="Rectangle 99">
              <a:extLst>
                <a:ext uri="{FF2B5EF4-FFF2-40B4-BE49-F238E27FC236}">
                  <a16:creationId xmlns:a16="http://schemas.microsoft.com/office/drawing/2014/main" id="{00000000-0008-0000-3300-00002E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7" name="Rectangle 100">
              <a:extLst>
                <a:ext uri="{FF2B5EF4-FFF2-40B4-BE49-F238E27FC236}">
                  <a16:creationId xmlns:a16="http://schemas.microsoft.com/office/drawing/2014/main" id="{00000000-0008-0000-3300-00002F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43" name="Groupe 28">
            <a:extLst>
              <a:ext uri="{FF2B5EF4-FFF2-40B4-BE49-F238E27FC236}">
                <a16:creationId xmlns:a16="http://schemas.microsoft.com/office/drawing/2014/main" id="{00000000-0008-0000-3300-00002B000000}"/>
              </a:ext>
            </a:extLst>
          </xdr:cNvPr>
          <xdr:cNvGrpSpPr>
            <a:grpSpLocks/>
          </xdr:cNvGrpSpPr>
        </xdr:nvGrpSpPr>
        <xdr:grpSpPr bwMode="auto">
          <a:xfrm>
            <a:off x="6953250" y="29260800"/>
            <a:ext cx="790576" cy="285750"/>
            <a:chOff x="7439024" y="28575000"/>
            <a:chExt cx="790576" cy="285750"/>
          </a:xfrm>
        </xdr:grpSpPr>
        <xdr:sp macro="" textlink="">
          <xdr:nvSpPr>
            <xdr:cNvPr id="44" name="Rectangle 97">
              <a:extLst>
                <a:ext uri="{FF2B5EF4-FFF2-40B4-BE49-F238E27FC236}">
                  <a16:creationId xmlns:a16="http://schemas.microsoft.com/office/drawing/2014/main" id="{00000000-0008-0000-3300-00002C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45" name="Rectangle 98">
              <a:extLst>
                <a:ext uri="{FF2B5EF4-FFF2-40B4-BE49-F238E27FC236}">
                  <a16:creationId xmlns:a16="http://schemas.microsoft.com/office/drawing/2014/main" id="{00000000-0008-0000-3300-00002D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187099</xdr:colOff>
      <xdr:row>34</xdr:row>
      <xdr:rowOff>42522</xdr:rowOff>
    </xdr:from>
    <xdr:to>
      <xdr:col>33</xdr:col>
      <xdr:colOff>204108</xdr:colOff>
      <xdr:row>35</xdr:row>
      <xdr:rowOff>55449</xdr:rowOff>
    </xdr:to>
    <xdr:sp macro="" textlink="">
      <xdr:nvSpPr>
        <xdr:cNvPr id="50" name="Rectangle 102">
          <a:extLst>
            <a:ext uri="{FF2B5EF4-FFF2-40B4-BE49-F238E27FC236}">
              <a16:creationId xmlns:a16="http://schemas.microsoft.com/office/drawing/2014/main" id="{00000000-0008-0000-3300-000032000000}"/>
            </a:ext>
          </a:extLst>
        </xdr:cNvPr>
        <xdr:cNvSpPr>
          <a:spLocks noChangeArrowheads="1"/>
        </xdr:cNvSpPr>
      </xdr:nvSpPr>
      <xdr:spPr bwMode="auto">
        <a:xfrm>
          <a:off x="8692924" y="5900397"/>
          <a:ext cx="264659" cy="203427"/>
        </a:xfrm>
        <a:prstGeom prst="rect">
          <a:avLst/>
        </a:prstGeom>
        <a:solidFill>
          <a:srgbClr val="FFFFFF"/>
        </a:solidFill>
        <a:ln w="9525" algn="ctr">
          <a:solidFill>
            <a:srgbClr val="000000"/>
          </a:solidFill>
          <a:round/>
          <a:headEnd/>
          <a:tailEnd/>
        </a:ln>
      </xdr:spPr>
    </xdr:sp>
    <xdr:clientData/>
  </xdr:twoCellAnchor>
  <xdr:twoCellAnchor>
    <xdr:from>
      <xdr:col>21</xdr:col>
      <xdr:colOff>229961</xdr:colOff>
      <xdr:row>38</xdr:row>
      <xdr:rowOff>85044</xdr:rowOff>
    </xdr:from>
    <xdr:to>
      <xdr:col>32</xdr:col>
      <xdr:colOff>94228</xdr:colOff>
      <xdr:row>39</xdr:row>
      <xdr:rowOff>131990</xdr:rowOff>
    </xdr:to>
    <xdr:grpSp>
      <xdr:nvGrpSpPr>
        <xdr:cNvPr id="51" name="Groupe 93">
          <a:extLst>
            <a:ext uri="{FF2B5EF4-FFF2-40B4-BE49-F238E27FC236}">
              <a16:creationId xmlns:a16="http://schemas.microsoft.com/office/drawing/2014/main" id="{00000000-0008-0000-3300-000033000000}"/>
            </a:ext>
          </a:extLst>
        </xdr:cNvPr>
        <xdr:cNvGrpSpPr>
          <a:grpSpLocks/>
        </xdr:cNvGrpSpPr>
      </xdr:nvGrpSpPr>
      <xdr:grpSpPr bwMode="auto">
        <a:xfrm>
          <a:off x="6021161" y="6647769"/>
          <a:ext cx="2731292" cy="218396"/>
          <a:chOff x="5295900" y="29260800"/>
          <a:chExt cx="2447926" cy="285750"/>
        </a:xfrm>
      </xdr:grpSpPr>
      <xdr:grpSp>
        <xdr:nvGrpSpPr>
          <xdr:cNvPr id="52" name="Groupe 24">
            <a:extLst>
              <a:ext uri="{FF2B5EF4-FFF2-40B4-BE49-F238E27FC236}">
                <a16:creationId xmlns:a16="http://schemas.microsoft.com/office/drawing/2014/main" id="{00000000-0008-0000-3300-000034000000}"/>
              </a:ext>
            </a:extLst>
          </xdr:cNvPr>
          <xdr:cNvGrpSpPr>
            <a:grpSpLocks/>
          </xdr:cNvGrpSpPr>
        </xdr:nvGrpSpPr>
        <xdr:grpSpPr bwMode="auto">
          <a:xfrm>
            <a:off x="6124574" y="29260800"/>
            <a:ext cx="790576" cy="285750"/>
            <a:chOff x="7439024" y="28575000"/>
            <a:chExt cx="790576" cy="285750"/>
          </a:xfrm>
        </xdr:grpSpPr>
        <xdr:sp macro="" textlink="">
          <xdr:nvSpPr>
            <xdr:cNvPr id="59" name="Rectangle 101">
              <a:extLst>
                <a:ext uri="{FF2B5EF4-FFF2-40B4-BE49-F238E27FC236}">
                  <a16:creationId xmlns:a16="http://schemas.microsoft.com/office/drawing/2014/main" id="{00000000-0008-0000-3300-00003B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60" name="Rectangle 102">
              <a:extLst>
                <a:ext uri="{FF2B5EF4-FFF2-40B4-BE49-F238E27FC236}">
                  <a16:creationId xmlns:a16="http://schemas.microsoft.com/office/drawing/2014/main" id="{00000000-0008-0000-3300-00003C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53" name="Groupe 25">
            <a:extLst>
              <a:ext uri="{FF2B5EF4-FFF2-40B4-BE49-F238E27FC236}">
                <a16:creationId xmlns:a16="http://schemas.microsoft.com/office/drawing/2014/main" id="{00000000-0008-0000-3300-000035000000}"/>
              </a:ext>
            </a:extLst>
          </xdr:cNvPr>
          <xdr:cNvGrpSpPr>
            <a:grpSpLocks/>
          </xdr:cNvGrpSpPr>
        </xdr:nvGrpSpPr>
        <xdr:grpSpPr bwMode="auto">
          <a:xfrm>
            <a:off x="5295900" y="29260800"/>
            <a:ext cx="790576" cy="285750"/>
            <a:chOff x="7439024" y="28575000"/>
            <a:chExt cx="790576" cy="285750"/>
          </a:xfrm>
        </xdr:grpSpPr>
        <xdr:sp macro="" textlink="">
          <xdr:nvSpPr>
            <xdr:cNvPr id="57" name="Rectangle 99">
              <a:extLst>
                <a:ext uri="{FF2B5EF4-FFF2-40B4-BE49-F238E27FC236}">
                  <a16:creationId xmlns:a16="http://schemas.microsoft.com/office/drawing/2014/main" id="{00000000-0008-0000-3300-000039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58" name="Rectangle 100">
              <a:extLst>
                <a:ext uri="{FF2B5EF4-FFF2-40B4-BE49-F238E27FC236}">
                  <a16:creationId xmlns:a16="http://schemas.microsoft.com/office/drawing/2014/main" id="{00000000-0008-0000-3300-00003A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nvGrpSpPr>
          <xdr:cNvPr id="54" name="Groupe 28">
            <a:extLst>
              <a:ext uri="{FF2B5EF4-FFF2-40B4-BE49-F238E27FC236}">
                <a16:creationId xmlns:a16="http://schemas.microsoft.com/office/drawing/2014/main" id="{00000000-0008-0000-3300-000036000000}"/>
              </a:ext>
            </a:extLst>
          </xdr:cNvPr>
          <xdr:cNvGrpSpPr>
            <a:grpSpLocks/>
          </xdr:cNvGrpSpPr>
        </xdr:nvGrpSpPr>
        <xdr:grpSpPr bwMode="auto">
          <a:xfrm>
            <a:off x="6953250" y="29260800"/>
            <a:ext cx="790576" cy="285750"/>
            <a:chOff x="7439024" y="28575000"/>
            <a:chExt cx="790576" cy="285750"/>
          </a:xfrm>
        </xdr:grpSpPr>
        <xdr:sp macro="" textlink="">
          <xdr:nvSpPr>
            <xdr:cNvPr id="55" name="Rectangle 97">
              <a:extLst>
                <a:ext uri="{FF2B5EF4-FFF2-40B4-BE49-F238E27FC236}">
                  <a16:creationId xmlns:a16="http://schemas.microsoft.com/office/drawing/2014/main" id="{00000000-0008-0000-3300-000037000000}"/>
                </a:ext>
              </a:extLst>
            </xdr:cNvPr>
            <xdr:cNvSpPr>
              <a:spLocks noChangeArrowheads="1"/>
            </xdr:cNvSpPr>
          </xdr:nvSpPr>
          <xdr:spPr bwMode="auto">
            <a:xfrm>
              <a:off x="7439024" y="28575000"/>
              <a:ext cx="371475" cy="285750"/>
            </a:xfrm>
            <a:prstGeom prst="rect">
              <a:avLst/>
            </a:prstGeom>
            <a:solidFill>
              <a:srgbClr val="FFFFFF"/>
            </a:solidFill>
            <a:ln w="9525" algn="ctr">
              <a:solidFill>
                <a:srgbClr val="000000"/>
              </a:solidFill>
              <a:round/>
              <a:headEnd/>
              <a:tailEnd/>
            </a:ln>
          </xdr:spPr>
        </xdr:sp>
        <xdr:sp macro="" textlink="">
          <xdr:nvSpPr>
            <xdr:cNvPr id="56" name="Rectangle 98">
              <a:extLst>
                <a:ext uri="{FF2B5EF4-FFF2-40B4-BE49-F238E27FC236}">
                  <a16:creationId xmlns:a16="http://schemas.microsoft.com/office/drawing/2014/main" id="{00000000-0008-0000-3300-000038000000}"/>
                </a:ext>
              </a:extLst>
            </xdr:cNvPr>
            <xdr:cNvSpPr>
              <a:spLocks noChangeArrowheads="1"/>
            </xdr:cNvSpPr>
          </xdr:nvSpPr>
          <xdr:spPr bwMode="auto">
            <a:xfrm>
              <a:off x="7858125" y="28575000"/>
              <a:ext cx="371475" cy="285750"/>
            </a:xfrm>
            <a:prstGeom prst="rect">
              <a:avLst/>
            </a:prstGeom>
            <a:solidFill>
              <a:srgbClr val="FFFFFF"/>
            </a:solidFill>
            <a:ln w="9525" algn="ctr">
              <a:solidFill>
                <a:srgbClr val="000000"/>
              </a:solidFill>
              <a:round/>
              <a:headEnd/>
              <a:tailEnd/>
            </a:ln>
          </xdr:spPr>
        </xdr:sp>
      </xdr:grpSp>
    </xdr:grpSp>
    <xdr:clientData/>
  </xdr:twoCellAnchor>
  <xdr:twoCellAnchor>
    <xdr:from>
      <xdr:col>32</xdr:col>
      <xdr:colOff>204788</xdr:colOff>
      <xdr:row>38</xdr:row>
      <xdr:rowOff>79262</xdr:rowOff>
    </xdr:from>
    <xdr:to>
      <xdr:col>34</xdr:col>
      <xdr:colOff>8165</xdr:colOff>
      <xdr:row>39</xdr:row>
      <xdr:rowOff>117703</xdr:rowOff>
    </xdr:to>
    <xdr:sp macro="" textlink="">
      <xdr:nvSpPr>
        <xdr:cNvPr id="61" name="Rectangle 102">
          <a:extLst>
            <a:ext uri="{FF2B5EF4-FFF2-40B4-BE49-F238E27FC236}">
              <a16:creationId xmlns:a16="http://schemas.microsoft.com/office/drawing/2014/main" id="{00000000-0008-0000-3300-00003D000000}"/>
            </a:ext>
          </a:extLst>
        </xdr:cNvPr>
        <xdr:cNvSpPr>
          <a:spLocks noChangeArrowheads="1"/>
        </xdr:cNvSpPr>
      </xdr:nvSpPr>
      <xdr:spPr bwMode="auto">
        <a:xfrm>
          <a:off x="8710613" y="6641987"/>
          <a:ext cx="298677" cy="209891"/>
        </a:xfrm>
        <a:prstGeom prst="rect">
          <a:avLst/>
        </a:prstGeom>
        <a:solidFill>
          <a:srgbClr val="FFFFFF"/>
        </a:solidFill>
        <a:ln w="9525" algn="ctr">
          <a:solidFill>
            <a:srgbClr val="000000"/>
          </a:solidFill>
          <a:round/>
          <a:headEnd/>
          <a:tailEnd/>
        </a:ln>
      </xdr:spPr>
    </xdr:sp>
    <xdr:clientData/>
  </xdr:twoCellAnchor>
  <xdr:twoCellAnchor>
    <xdr:from>
      <xdr:col>22</xdr:col>
      <xdr:colOff>0</xdr:colOff>
      <xdr:row>64</xdr:row>
      <xdr:rowOff>0</xdr:rowOff>
    </xdr:from>
    <xdr:to>
      <xdr:col>24</xdr:col>
      <xdr:colOff>142357</xdr:colOff>
      <xdr:row>65</xdr:row>
      <xdr:rowOff>30956</xdr:rowOff>
    </xdr:to>
    <xdr:sp macro="" textlink="">
      <xdr:nvSpPr>
        <xdr:cNvPr id="62" name="Rectangle 99">
          <a:extLst>
            <a:ext uri="{FF2B5EF4-FFF2-40B4-BE49-F238E27FC236}">
              <a16:creationId xmlns:a16="http://schemas.microsoft.com/office/drawing/2014/main" id="{00000000-0008-0000-3300-00003E000000}"/>
            </a:ext>
          </a:extLst>
        </xdr:cNvPr>
        <xdr:cNvSpPr>
          <a:spLocks noChangeArrowheads="1"/>
        </xdr:cNvSpPr>
      </xdr:nvSpPr>
      <xdr:spPr bwMode="auto">
        <a:xfrm>
          <a:off x="5810250" y="11725275"/>
          <a:ext cx="390007" cy="211931"/>
        </a:xfrm>
        <a:prstGeom prst="rect">
          <a:avLst/>
        </a:prstGeom>
        <a:solidFill>
          <a:srgbClr val="FFFFFF"/>
        </a:solidFill>
        <a:ln w="9525" algn="ctr">
          <a:solidFill>
            <a:srgbClr val="000000"/>
          </a:solidFill>
          <a:round/>
          <a:headEnd/>
          <a:tailEnd/>
        </a:ln>
      </xdr:spPr>
    </xdr:sp>
    <xdr:clientData/>
  </xdr:twoCellAnchor>
  <xdr:twoCellAnchor>
    <xdr:from>
      <xdr:col>21</xdr:col>
      <xdr:colOff>385763</xdr:colOff>
      <xdr:row>65</xdr:row>
      <xdr:rowOff>123825</xdr:rowOff>
    </xdr:from>
    <xdr:to>
      <xdr:col>24</xdr:col>
      <xdr:colOff>137595</xdr:colOff>
      <xdr:row>66</xdr:row>
      <xdr:rowOff>154781</xdr:rowOff>
    </xdr:to>
    <xdr:sp macro="" textlink="">
      <xdr:nvSpPr>
        <xdr:cNvPr id="63" name="Rectangle 99">
          <a:extLst>
            <a:ext uri="{FF2B5EF4-FFF2-40B4-BE49-F238E27FC236}">
              <a16:creationId xmlns:a16="http://schemas.microsoft.com/office/drawing/2014/main" id="{00000000-0008-0000-3300-00003F000000}"/>
            </a:ext>
          </a:extLst>
        </xdr:cNvPr>
        <xdr:cNvSpPr>
          <a:spLocks noChangeArrowheads="1"/>
        </xdr:cNvSpPr>
      </xdr:nvSpPr>
      <xdr:spPr bwMode="auto">
        <a:xfrm>
          <a:off x="5805488" y="12030075"/>
          <a:ext cx="390007" cy="211931"/>
        </a:xfrm>
        <a:prstGeom prst="rect">
          <a:avLst/>
        </a:prstGeom>
        <a:solidFill>
          <a:srgbClr val="FFFFFF"/>
        </a:solidFill>
        <a:ln w="9525" algn="ctr">
          <a:solidFill>
            <a:srgbClr val="000000"/>
          </a:solidFill>
          <a:round/>
          <a:headEnd/>
          <a:tailEnd/>
        </a:ln>
      </xdr:spPr>
    </xdr:sp>
    <xdr:clientData/>
  </xdr:twoCellAnchor>
  <xdr:twoCellAnchor>
    <xdr:from>
      <xdr:col>22</xdr:col>
      <xdr:colOff>0</xdr:colOff>
      <xdr:row>87</xdr:row>
      <xdr:rowOff>0</xdr:rowOff>
    </xdr:from>
    <xdr:to>
      <xdr:col>24</xdr:col>
      <xdr:colOff>142357</xdr:colOff>
      <xdr:row>88</xdr:row>
      <xdr:rowOff>30956</xdr:rowOff>
    </xdr:to>
    <xdr:sp macro="" textlink="">
      <xdr:nvSpPr>
        <xdr:cNvPr id="64" name="Rectangle 99">
          <a:extLst>
            <a:ext uri="{FF2B5EF4-FFF2-40B4-BE49-F238E27FC236}">
              <a16:creationId xmlns:a16="http://schemas.microsoft.com/office/drawing/2014/main" id="{00000000-0008-0000-3300-000040000000}"/>
            </a:ext>
          </a:extLst>
        </xdr:cNvPr>
        <xdr:cNvSpPr>
          <a:spLocks noChangeArrowheads="1"/>
        </xdr:cNvSpPr>
      </xdr:nvSpPr>
      <xdr:spPr bwMode="auto">
        <a:xfrm>
          <a:off x="5810250" y="11725275"/>
          <a:ext cx="390007" cy="211931"/>
        </a:xfrm>
        <a:prstGeom prst="rect">
          <a:avLst/>
        </a:prstGeom>
        <a:solidFill>
          <a:srgbClr val="FFFFFF"/>
        </a:solidFill>
        <a:ln w="9525" algn="ctr">
          <a:solidFill>
            <a:srgbClr val="000000"/>
          </a:solidFill>
          <a:round/>
          <a:headEnd/>
          <a:tailEnd/>
        </a:ln>
      </xdr:spPr>
    </xdr:sp>
    <xdr:clientData/>
  </xdr:twoCellAnchor>
  <xdr:twoCellAnchor>
    <xdr:from>
      <xdr:col>21</xdr:col>
      <xdr:colOff>385763</xdr:colOff>
      <xdr:row>88</xdr:row>
      <xdr:rowOff>123825</xdr:rowOff>
    </xdr:from>
    <xdr:to>
      <xdr:col>24</xdr:col>
      <xdr:colOff>137595</xdr:colOff>
      <xdr:row>89</xdr:row>
      <xdr:rowOff>154781</xdr:rowOff>
    </xdr:to>
    <xdr:sp macro="" textlink="">
      <xdr:nvSpPr>
        <xdr:cNvPr id="65" name="Rectangle 99">
          <a:extLst>
            <a:ext uri="{FF2B5EF4-FFF2-40B4-BE49-F238E27FC236}">
              <a16:creationId xmlns:a16="http://schemas.microsoft.com/office/drawing/2014/main" id="{00000000-0008-0000-3300-000041000000}"/>
            </a:ext>
          </a:extLst>
        </xdr:cNvPr>
        <xdr:cNvSpPr>
          <a:spLocks noChangeArrowheads="1"/>
        </xdr:cNvSpPr>
      </xdr:nvSpPr>
      <xdr:spPr bwMode="auto">
        <a:xfrm>
          <a:off x="5805488" y="12030075"/>
          <a:ext cx="390007" cy="211931"/>
        </a:xfrm>
        <a:prstGeom prst="rect">
          <a:avLst/>
        </a:prstGeom>
        <a:solidFill>
          <a:srgbClr val="FFFFFF"/>
        </a:solidFill>
        <a:ln w="9525" algn="ctr">
          <a:solidFill>
            <a:srgbClr val="000000"/>
          </a:solidFill>
          <a:round/>
          <a:headEnd/>
          <a:tailEnd/>
        </a:ln>
      </xdr:spPr>
    </xdr:sp>
    <xdr:clientData/>
  </xdr:twoCellAnchor>
</xdr:wsDr>
</file>

<file path=xl/drawings/drawing14.xml><?xml version="1.0" encoding="utf-8"?>
<xdr:wsDr xmlns:xdr="http://schemas.openxmlformats.org/drawingml/2006/spreadsheetDrawing" xmlns:a="http://schemas.openxmlformats.org/drawingml/2006/main">
  <xdr:twoCellAnchor>
    <xdr:from>
      <xdr:col>13</xdr:col>
      <xdr:colOff>931580</xdr:colOff>
      <xdr:row>1</xdr:row>
      <xdr:rowOff>54339</xdr:rowOff>
    </xdr:from>
    <xdr:to>
      <xdr:col>14</xdr:col>
      <xdr:colOff>160055</xdr:colOff>
      <xdr:row>3</xdr:row>
      <xdr:rowOff>24899</xdr:rowOff>
    </xdr:to>
    <xdr:sp macro="" textlink="">
      <xdr:nvSpPr>
        <xdr:cNvPr id="3394660" name="Rectangle 1">
          <a:extLst>
            <a:ext uri="{FF2B5EF4-FFF2-40B4-BE49-F238E27FC236}">
              <a16:creationId xmlns:a16="http://schemas.microsoft.com/office/drawing/2014/main" id="{00000000-0008-0000-3400-000064CC3300}"/>
            </a:ext>
          </a:extLst>
        </xdr:cNvPr>
        <xdr:cNvSpPr>
          <a:spLocks noChangeArrowheads="1"/>
        </xdr:cNvSpPr>
      </xdr:nvSpPr>
      <xdr:spPr bwMode="auto">
        <a:xfrm>
          <a:off x="9789830" y="213089"/>
          <a:ext cx="466725" cy="367435"/>
        </a:xfrm>
        <a:prstGeom prst="rect">
          <a:avLst/>
        </a:prstGeom>
        <a:solidFill>
          <a:srgbClr val="FFFFFF"/>
        </a:solidFill>
        <a:ln w="9525">
          <a:solidFill>
            <a:srgbClr val="000000"/>
          </a:solidFill>
          <a:round/>
          <a:headEnd/>
          <a:tailEnd/>
        </a:ln>
      </xdr:spPr>
    </xdr:sp>
    <xdr:clientData/>
  </xdr:twoCellAnchor>
  <xdr:twoCellAnchor>
    <xdr:from>
      <xdr:col>8</xdr:col>
      <xdr:colOff>219075</xdr:colOff>
      <xdr:row>3</xdr:row>
      <xdr:rowOff>0</xdr:rowOff>
    </xdr:from>
    <xdr:to>
      <xdr:col>9</xdr:col>
      <xdr:colOff>142875</xdr:colOff>
      <xdr:row>4</xdr:row>
      <xdr:rowOff>47625</xdr:rowOff>
    </xdr:to>
    <xdr:sp macro="" textlink="">
      <xdr:nvSpPr>
        <xdr:cNvPr id="3394661" name="Rectangle 1">
          <a:extLst>
            <a:ext uri="{FF2B5EF4-FFF2-40B4-BE49-F238E27FC236}">
              <a16:creationId xmlns:a16="http://schemas.microsoft.com/office/drawing/2014/main" id="{00000000-0008-0000-3400-000065CC3300}"/>
            </a:ext>
          </a:extLst>
        </xdr:cNvPr>
        <xdr:cNvSpPr>
          <a:spLocks noChangeArrowheads="1"/>
        </xdr:cNvSpPr>
      </xdr:nvSpPr>
      <xdr:spPr bwMode="auto">
        <a:xfrm>
          <a:off x="2981325" y="495300"/>
          <a:ext cx="476250" cy="219075"/>
        </a:xfrm>
        <a:prstGeom prst="rect">
          <a:avLst/>
        </a:prstGeom>
        <a:solidFill>
          <a:srgbClr val="FFFFFF"/>
        </a:solidFill>
        <a:ln w="9525">
          <a:solidFill>
            <a:srgbClr val="000000"/>
          </a:solidFill>
          <a:round/>
          <a:headEnd/>
          <a:tailEnd/>
        </a:ln>
      </xdr:spPr>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527539</xdr:colOff>
      <xdr:row>1</xdr:row>
      <xdr:rowOff>161193</xdr:rowOff>
    </xdr:from>
    <xdr:to>
      <xdr:col>3</xdr:col>
      <xdr:colOff>945173</xdr:colOff>
      <xdr:row>3</xdr:row>
      <xdr:rowOff>43961</xdr:rowOff>
    </xdr:to>
    <xdr:sp macro="" textlink="">
      <xdr:nvSpPr>
        <xdr:cNvPr id="2" name="Rectangle 1">
          <a:extLst>
            <a:ext uri="{FF2B5EF4-FFF2-40B4-BE49-F238E27FC236}">
              <a16:creationId xmlns:a16="http://schemas.microsoft.com/office/drawing/2014/main" id="{00000000-0008-0000-3500-000002000000}"/>
            </a:ext>
          </a:extLst>
        </xdr:cNvPr>
        <xdr:cNvSpPr/>
      </xdr:nvSpPr>
      <xdr:spPr bwMode="auto">
        <a:xfrm>
          <a:off x="3011366" y="329712"/>
          <a:ext cx="417634" cy="219807"/>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39</xdr:col>
      <xdr:colOff>315235</xdr:colOff>
      <xdr:row>3</xdr:row>
      <xdr:rowOff>145144</xdr:rowOff>
    </xdr:from>
    <xdr:to>
      <xdr:col>41</xdr:col>
      <xdr:colOff>46618</xdr:colOff>
      <xdr:row>5</xdr:row>
      <xdr:rowOff>54429</xdr:rowOff>
    </xdr:to>
    <xdr:sp macro="" textlink="">
      <xdr:nvSpPr>
        <xdr:cNvPr id="2" name="Rectangle 1">
          <a:extLst>
            <a:ext uri="{FF2B5EF4-FFF2-40B4-BE49-F238E27FC236}">
              <a16:creationId xmlns:a16="http://schemas.microsoft.com/office/drawing/2014/main" id="{00000000-0008-0000-3600-000002000000}"/>
            </a:ext>
          </a:extLst>
        </xdr:cNvPr>
        <xdr:cNvSpPr/>
      </xdr:nvSpPr>
      <xdr:spPr bwMode="auto">
        <a:xfrm>
          <a:off x="9440185" y="640444"/>
          <a:ext cx="379083" cy="252185"/>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4</xdr:col>
      <xdr:colOff>590399</xdr:colOff>
      <xdr:row>2</xdr:row>
      <xdr:rowOff>133803</xdr:rowOff>
    </xdr:from>
    <xdr:to>
      <xdr:col>4</xdr:col>
      <xdr:colOff>892779</xdr:colOff>
      <xdr:row>4</xdr:row>
      <xdr:rowOff>49136</xdr:rowOff>
    </xdr:to>
    <xdr:sp macro="" textlink="">
      <xdr:nvSpPr>
        <xdr:cNvPr id="2" name="Rectangle 1">
          <a:extLst>
            <a:ext uri="{FF2B5EF4-FFF2-40B4-BE49-F238E27FC236}">
              <a16:creationId xmlns:a16="http://schemas.microsoft.com/office/drawing/2014/main" id="{00000000-0008-0000-3700-000002000000}"/>
            </a:ext>
          </a:extLst>
        </xdr:cNvPr>
        <xdr:cNvSpPr/>
      </xdr:nvSpPr>
      <xdr:spPr bwMode="auto">
        <a:xfrm>
          <a:off x="3819374" y="476703"/>
          <a:ext cx="302380" cy="258233"/>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wrap="square" lIns="18288" tIns="0" rIns="0" bIns="0" rtlCol="0" anchor="ctr" upright="1"/>
        <a:lstStyle/>
        <a:p>
          <a:pPr algn="l"/>
          <a:endParaRPr 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QG3/Desktop/EHCVM2/Question&#225;rios/EHCVM2_UEMOA_MEN1_20210414.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QG3/Desktop/EHCVM2/EHCVM2_UEMOA_MEN1_20210219_PT_Versao_Final.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uvert"/>
      <sheetName val="TOC"/>
      <sheetName val="S0_Cont"/>
      <sheetName val="S01_Demo"/>
      <sheetName val="S02_Educ"/>
      <sheetName val="S03_Sante"/>
      <sheetName val="S04_Emploi_A"/>
      <sheetName val="S04_Emploi_B"/>
      <sheetName val="S04_Emploi_C"/>
      <sheetName val="S05_Revenus_Indiv"/>
      <sheetName val="S06_Epargne"/>
      <sheetName val="S7a_Conso_Re"/>
      <sheetName val="S7b_Conso_Al"/>
      <sheetName val="S8A_SecAlimentaire_FIES"/>
      <sheetName val="S9a__Conso_NA"/>
      <sheetName val="S9b__Conso_NA"/>
      <sheetName val="S9c__Conso_NA"/>
      <sheetName val="S9d___Conso_NA"/>
      <sheetName val="S9e__Conso_NA"/>
      <sheetName val="S9f__Conso_NA"/>
      <sheetName val="S10_Entreprises1 "/>
      <sheetName val="S10_Entreprises2"/>
      <sheetName val="S11_Logement"/>
      <sheetName val="S12_Avoirs"/>
      <sheetName val="S13_Transferts"/>
      <sheetName val="S14A_Chocs"/>
      <sheetName val="S14B_Chocs"/>
      <sheetName val="S15_Filet"/>
      <sheetName val="S16a_Agri"/>
      <sheetName val="S16b_Agri"/>
      <sheetName val="S16c_Agri"/>
      <sheetName val="S16d_Agri"/>
      <sheetName val="S17_Elevage"/>
      <sheetName val="S18_Peche"/>
      <sheetName val="S19_Equipements"/>
      <sheetName val="S20A_PauvreteSubjective"/>
      <sheetName val="S20B_Gouvernance"/>
      <sheetName val="S20C_Insecurite"/>
      <sheetName val="Unites"/>
      <sheetName val="Cultures"/>
      <sheetName val="Observations"/>
      <sheetName val="Variab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uvert1"/>
      <sheetName val="TOC1"/>
      <sheetName val="S0_Cont1"/>
      <sheetName val="S01_Demo1"/>
      <sheetName val="S02_Educ1"/>
      <sheetName val="S03_Sante1"/>
      <sheetName val="S04_Emploi_A1"/>
      <sheetName val="S04_Emploi_B1"/>
      <sheetName val="S04_Emploi_C1"/>
      <sheetName val="S05_Revenus_Indiv1"/>
      <sheetName val="S06_Epargne1"/>
      <sheetName val="S7a_Conso_Re1"/>
      <sheetName val="S7b_Conso_Al1"/>
      <sheetName val="S8A_SecAlimentaire_FIES1"/>
      <sheetName val="S8B_SecAlimentaire1"/>
      <sheetName val="S9a__Conso_NA1"/>
      <sheetName val="S9b__Conso_NA1"/>
      <sheetName val="S9c__Conso_NA1"/>
      <sheetName val="S9d___Conso_NA1"/>
      <sheetName val="S9e__Conso_NA1"/>
      <sheetName val="S9f__Conso_NA1"/>
      <sheetName val="S10_Entreprises11 "/>
      <sheetName val="S10_Entreprises21"/>
      <sheetName val="S11_Logement1"/>
      <sheetName val="S12_Avoirs"/>
      <sheetName val="S13_Transferts"/>
      <sheetName val="S14A_Chocs1"/>
      <sheetName val="S14B_Chocs1"/>
      <sheetName val="S15_Filet1"/>
      <sheetName val="S16a_Agri1"/>
      <sheetName val="S16b_Agri"/>
      <sheetName val="S16c_Agri"/>
      <sheetName val="S16d_Agri"/>
      <sheetName val="S17_Elevage"/>
      <sheetName val="S18_Peche"/>
      <sheetName val="S19_Equipements"/>
      <sheetName val="S20A_PauvreteSubjective"/>
      <sheetName val="S20B_Gouvernance"/>
      <sheetName val="S20C_Insecurite"/>
      <sheetName val="Unites"/>
      <sheetName val="Cultures"/>
      <sheetName val="Observations"/>
      <sheetName val="Variab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1">
          <cell r="A1" t="str">
            <v>SEÇÃO 14A: COVID-19 E IMPACTO NOS AGREGADOS FAMÍLIAS</v>
          </cell>
        </row>
      </sheetData>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4">
          <cell r="C4" t="str">
            <v>2021/2022</v>
          </cell>
        </row>
      </sheetData>
    </sheetDataSet>
  </externalBook>
</externalLink>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9</v>
    <v>3</v>
  </rv>
</rvData>
</file>

<file path=xl/richData/rdrichvaluestructure.xml><?xml version="1.0" encoding="utf-8"?>
<rvStructures xmlns="http://schemas.microsoft.com/office/spreadsheetml/2017/richdata" count="1">
  <s t="_error">
    <k n="errorType" t="i"/>
    <k n="subType" t="i"/>
  </s>
</rvStructure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9.bin"/><Relationship Id="rId3" Type="http://schemas.openxmlformats.org/officeDocument/2006/relationships/printerSettings" Target="../printerSettings/printerSettings4.bin"/><Relationship Id="rId7" Type="http://schemas.openxmlformats.org/officeDocument/2006/relationships/printerSettings" Target="../printerSettings/printerSettings8.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6" Type="http://schemas.openxmlformats.org/officeDocument/2006/relationships/printerSettings" Target="../printerSettings/printerSettings7.bin"/><Relationship Id="rId5" Type="http://schemas.openxmlformats.org/officeDocument/2006/relationships/printerSettings" Target="../printerSettings/printerSettings6.bin"/><Relationship Id="rId10" Type="http://schemas.openxmlformats.org/officeDocument/2006/relationships/printerSettings" Target="../printerSettings/printerSettings11.bin"/><Relationship Id="rId4" Type="http://schemas.openxmlformats.org/officeDocument/2006/relationships/printerSettings" Target="../printerSettings/printerSettings5.bin"/><Relationship Id="rId9" Type="http://schemas.openxmlformats.org/officeDocument/2006/relationships/printerSettings" Target="../printerSettings/printerSettings10.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19.bin"/><Relationship Id="rId3" Type="http://schemas.openxmlformats.org/officeDocument/2006/relationships/printerSettings" Target="../printerSettings/printerSettings14.bin"/><Relationship Id="rId7" Type="http://schemas.openxmlformats.org/officeDocument/2006/relationships/printerSettings" Target="../printerSettings/printerSettings18.bin"/><Relationship Id="rId2" Type="http://schemas.openxmlformats.org/officeDocument/2006/relationships/printerSettings" Target="../printerSettings/printerSettings13.bin"/><Relationship Id="rId1" Type="http://schemas.openxmlformats.org/officeDocument/2006/relationships/printerSettings" Target="../printerSettings/printerSettings12.bin"/><Relationship Id="rId6" Type="http://schemas.openxmlformats.org/officeDocument/2006/relationships/printerSettings" Target="../printerSettings/printerSettings17.bin"/><Relationship Id="rId5" Type="http://schemas.openxmlformats.org/officeDocument/2006/relationships/printerSettings" Target="../printerSettings/printerSettings16.bin"/><Relationship Id="rId10" Type="http://schemas.openxmlformats.org/officeDocument/2006/relationships/printerSettings" Target="../printerSettings/printerSettings21.bin"/><Relationship Id="rId4" Type="http://schemas.openxmlformats.org/officeDocument/2006/relationships/printerSettings" Target="../printerSettings/printerSettings15.bin"/><Relationship Id="rId9" Type="http://schemas.openxmlformats.org/officeDocument/2006/relationships/printerSettings" Target="../printerSettings/printerSettings20.bin"/></Relationships>
</file>

<file path=xl/worksheets/_rels/sheet4.xml.rels><?xml version="1.0" encoding="UTF-8" standalone="yes"?>
<Relationships xmlns="http://schemas.openxmlformats.org/package/2006/relationships"><Relationship Id="rId8" Type="http://schemas.openxmlformats.org/officeDocument/2006/relationships/printerSettings" Target="../printerSettings/printerSettings29.bin"/><Relationship Id="rId3" Type="http://schemas.openxmlformats.org/officeDocument/2006/relationships/printerSettings" Target="../printerSettings/printerSettings24.bin"/><Relationship Id="rId7" Type="http://schemas.openxmlformats.org/officeDocument/2006/relationships/printerSettings" Target="../printerSettings/printerSettings28.bin"/><Relationship Id="rId2" Type="http://schemas.openxmlformats.org/officeDocument/2006/relationships/printerSettings" Target="../printerSettings/printerSettings23.bin"/><Relationship Id="rId1" Type="http://schemas.openxmlformats.org/officeDocument/2006/relationships/printerSettings" Target="../printerSettings/printerSettings22.bin"/><Relationship Id="rId6" Type="http://schemas.openxmlformats.org/officeDocument/2006/relationships/printerSettings" Target="../printerSettings/printerSettings27.bin"/><Relationship Id="rId5" Type="http://schemas.openxmlformats.org/officeDocument/2006/relationships/printerSettings" Target="../printerSettings/printerSettings26.bin"/><Relationship Id="rId10" Type="http://schemas.openxmlformats.org/officeDocument/2006/relationships/printerSettings" Target="../printerSettings/printerSettings31.bin"/><Relationship Id="rId4" Type="http://schemas.openxmlformats.org/officeDocument/2006/relationships/printerSettings" Target="../printerSettings/printerSettings25.bin"/><Relationship Id="rId9" Type="http://schemas.openxmlformats.org/officeDocument/2006/relationships/printerSettings" Target="../printerSettings/printerSettings30.bin"/></Relationships>
</file>

<file path=xl/worksheets/_rels/sheet5.xml.rels><?xml version="1.0" encoding="UTF-8" standalone="yes"?>
<Relationships xmlns="http://schemas.openxmlformats.org/package/2006/relationships"><Relationship Id="rId8" Type="http://schemas.openxmlformats.org/officeDocument/2006/relationships/printerSettings" Target="../printerSettings/printerSettings39.bin"/><Relationship Id="rId3" Type="http://schemas.openxmlformats.org/officeDocument/2006/relationships/printerSettings" Target="../printerSettings/printerSettings34.bin"/><Relationship Id="rId7" Type="http://schemas.openxmlformats.org/officeDocument/2006/relationships/printerSettings" Target="../printerSettings/printerSettings38.bin"/><Relationship Id="rId2" Type="http://schemas.openxmlformats.org/officeDocument/2006/relationships/printerSettings" Target="../printerSettings/printerSettings33.bin"/><Relationship Id="rId1" Type="http://schemas.openxmlformats.org/officeDocument/2006/relationships/printerSettings" Target="../printerSettings/printerSettings32.bin"/><Relationship Id="rId6" Type="http://schemas.openxmlformats.org/officeDocument/2006/relationships/printerSettings" Target="../printerSettings/printerSettings37.bin"/><Relationship Id="rId5" Type="http://schemas.openxmlformats.org/officeDocument/2006/relationships/printerSettings" Target="../printerSettings/printerSettings36.bin"/><Relationship Id="rId10" Type="http://schemas.openxmlformats.org/officeDocument/2006/relationships/printerSettings" Target="../printerSettings/printerSettings41.bin"/><Relationship Id="rId4" Type="http://schemas.openxmlformats.org/officeDocument/2006/relationships/printerSettings" Target="../printerSettings/printerSettings35.bin"/><Relationship Id="rId9" Type="http://schemas.openxmlformats.org/officeDocument/2006/relationships/printerSettings" Target="../printerSettings/printerSettings40.bin"/></Relationships>
</file>

<file path=xl/worksheets/_rels/sheet6.xml.rels><?xml version="1.0" encoding="UTF-8" standalone="yes"?>
<Relationships xmlns="http://schemas.openxmlformats.org/package/2006/relationships"><Relationship Id="rId8" Type="http://schemas.openxmlformats.org/officeDocument/2006/relationships/printerSettings" Target="../printerSettings/printerSettings49.bin"/><Relationship Id="rId3" Type="http://schemas.openxmlformats.org/officeDocument/2006/relationships/printerSettings" Target="../printerSettings/printerSettings44.bin"/><Relationship Id="rId7" Type="http://schemas.openxmlformats.org/officeDocument/2006/relationships/printerSettings" Target="../printerSettings/printerSettings48.bin"/><Relationship Id="rId2" Type="http://schemas.openxmlformats.org/officeDocument/2006/relationships/printerSettings" Target="../printerSettings/printerSettings43.bin"/><Relationship Id="rId1" Type="http://schemas.openxmlformats.org/officeDocument/2006/relationships/printerSettings" Target="../printerSettings/printerSettings42.bin"/><Relationship Id="rId6" Type="http://schemas.openxmlformats.org/officeDocument/2006/relationships/printerSettings" Target="../printerSettings/printerSettings47.bin"/><Relationship Id="rId11" Type="http://schemas.openxmlformats.org/officeDocument/2006/relationships/drawing" Target="../drawings/drawing1.xml"/><Relationship Id="rId5" Type="http://schemas.openxmlformats.org/officeDocument/2006/relationships/printerSettings" Target="../printerSettings/printerSettings46.bin"/><Relationship Id="rId10" Type="http://schemas.openxmlformats.org/officeDocument/2006/relationships/printerSettings" Target="../printerSettings/printerSettings51.bin"/><Relationship Id="rId4" Type="http://schemas.openxmlformats.org/officeDocument/2006/relationships/printerSettings" Target="../printerSettings/printerSettings45.bin"/><Relationship Id="rId9" Type="http://schemas.openxmlformats.org/officeDocument/2006/relationships/printerSettings" Target="../printerSettings/printerSettings50.bin"/></Relationships>
</file>

<file path=xl/worksheets/_rels/sheet7.xml.rels><?xml version="1.0" encoding="UTF-8" standalone="yes"?>
<Relationships xmlns="http://schemas.openxmlformats.org/package/2006/relationships"><Relationship Id="rId8" Type="http://schemas.openxmlformats.org/officeDocument/2006/relationships/printerSettings" Target="../printerSettings/printerSettings59.bin"/><Relationship Id="rId3" Type="http://schemas.openxmlformats.org/officeDocument/2006/relationships/printerSettings" Target="../printerSettings/printerSettings54.bin"/><Relationship Id="rId7" Type="http://schemas.openxmlformats.org/officeDocument/2006/relationships/printerSettings" Target="../printerSettings/printerSettings58.bin"/><Relationship Id="rId2" Type="http://schemas.openxmlformats.org/officeDocument/2006/relationships/printerSettings" Target="../printerSettings/printerSettings53.bin"/><Relationship Id="rId1" Type="http://schemas.openxmlformats.org/officeDocument/2006/relationships/printerSettings" Target="../printerSettings/printerSettings52.bin"/><Relationship Id="rId6" Type="http://schemas.openxmlformats.org/officeDocument/2006/relationships/printerSettings" Target="../printerSettings/printerSettings57.bin"/><Relationship Id="rId5" Type="http://schemas.openxmlformats.org/officeDocument/2006/relationships/printerSettings" Target="../printerSettings/printerSettings56.bin"/><Relationship Id="rId10" Type="http://schemas.openxmlformats.org/officeDocument/2006/relationships/printerSettings" Target="../printerSettings/printerSettings61.bin"/><Relationship Id="rId4" Type="http://schemas.openxmlformats.org/officeDocument/2006/relationships/printerSettings" Target="../printerSettings/printerSettings55.bin"/><Relationship Id="rId9" Type="http://schemas.openxmlformats.org/officeDocument/2006/relationships/printerSettings" Target="../printerSettings/printerSettings60.bin"/></Relationships>
</file>

<file path=xl/worksheets/_rels/sheet8.xml.rels><?xml version="1.0" encoding="UTF-8" standalone="yes"?>
<Relationships xmlns="http://schemas.openxmlformats.org/package/2006/relationships"><Relationship Id="rId8" Type="http://schemas.openxmlformats.org/officeDocument/2006/relationships/printerSettings" Target="../printerSettings/printerSettings69.bin"/><Relationship Id="rId3" Type="http://schemas.openxmlformats.org/officeDocument/2006/relationships/printerSettings" Target="../printerSettings/printerSettings64.bin"/><Relationship Id="rId7" Type="http://schemas.openxmlformats.org/officeDocument/2006/relationships/printerSettings" Target="../printerSettings/printerSettings68.bin"/><Relationship Id="rId2" Type="http://schemas.openxmlformats.org/officeDocument/2006/relationships/printerSettings" Target="../printerSettings/printerSettings63.bin"/><Relationship Id="rId1" Type="http://schemas.openxmlformats.org/officeDocument/2006/relationships/printerSettings" Target="../printerSettings/printerSettings62.bin"/><Relationship Id="rId6" Type="http://schemas.openxmlformats.org/officeDocument/2006/relationships/printerSettings" Target="../printerSettings/printerSettings67.bin"/><Relationship Id="rId5" Type="http://schemas.openxmlformats.org/officeDocument/2006/relationships/printerSettings" Target="../printerSettings/printerSettings66.bin"/><Relationship Id="rId10" Type="http://schemas.openxmlformats.org/officeDocument/2006/relationships/printerSettings" Target="../printerSettings/printerSettings71.bin"/><Relationship Id="rId4" Type="http://schemas.openxmlformats.org/officeDocument/2006/relationships/printerSettings" Target="../printerSettings/printerSettings65.bin"/><Relationship Id="rId9" Type="http://schemas.openxmlformats.org/officeDocument/2006/relationships/printerSettings" Target="../printerSettings/printerSettings70.bin"/></Relationships>
</file>

<file path=xl/worksheets/_rels/sheet9.xml.rels><?xml version="1.0" encoding="UTF-8" standalone="yes"?>
<Relationships xmlns="http://schemas.openxmlformats.org/package/2006/relationships"><Relationship Id="rId8" Type="http://schemas.openxmlformats.org/officeDocument/2006/relationships/printerSettings" Target="../printerSettings/printerSettings79.bin"/><Relationship Id="rId3" Type="http://schemas.openxmlformats.org/officeDocument/2006/relationships/printerSettings" Target="../printerSettings/printerSettings74.bin"/><Relationship Id="rId7" Type="http://schemas.openxmlformats.org/officeDocument/2006/relationships/printerSettings" Target="../printerSettings/printerSettings78.bin"/><Relationship Id="rId2" Type="http://schemas.openxmlformats.org/officeDocument/2006/relationships/printerSettings" Target="../printerSettings/printerSettings73.bin"/><Relationship Id="rId1" Type="http://schemas.openxmlformats.org/officeDocument/2006/relationships/printerSettings" Target="../printerSettings/printerSettings72.bin"/><Relationship Id="rId6" Type="http://schemas.openxmlformats.org/officeDocument/2006/relationships/printerSettings" Target="../printerSettings/printerSettings77.bin"/><Relationship Id="rId5" Type="http://schemas.openxmlformats.org/officeDocument/2006/relationships/printerSettings" Target="../printerSettings/printerSettings76.bin"/><Relationship Id="rId10" Type="http://schemas.openxmlformats.org/officeDocument/2006/relationships/printerSettings" Target="../printerSettings/printerSettings81.bin"/><Relationship Id="rId4" Type="http://schemas.openxmlformats.org/officeDocument/2006/relationships/printerSettings" Target="../printerSettings/printerSettings75.bin"/><Relationship Id="rId9" Type="http://schemas.openxmlformats.org/officeDocument/2006/relationships/printerSettings" Target="../printerSettings/printerSettings80.bin"/></Relationships>
</file>

<file path=xl/worksheets/_rels/sheet10.xml.rels><?xml version="1.0" encoding="UTF-8" standalone="yes"?>
<Relationships xmlns="http://schemas.openxmlformats.org/package/2006/relationships"><Relationship Id="rId8" Type="http://schemas.openxmlformats.org/officeDocument/2006/relationships/printerSettings" Target="../printerSettings/printerSettings89.bin"/><Relationship Id="rId3" Type="http://schemas.openxmlformats.org/officeDocument/2006/relationships/printerSettings" Target="../printerSettings/printerSettings84.bin"/><Relationship Id="rId7" Type="http://schemas.openxmlformats.org/officeDocument/2006/relationships/printerSettings" Target="../printerSettings/printerSettings88.bin"/><Relationship Id="rId2" Type="http://schemas.openxmlformats.org/officeDocument/2006/relationships/printerSettings" Target="../printerSettings/printerSettings83.bin"/><Relationship Id="rId1" Type="http://schemas.openxmlformats.org/officeDocument/2006/relationships/printerSettings" Target="../printerSettings/printerSettings82.bin"/><Relationship Id="rId6" Type="http://schemas.openxmlformats.org/officeDocument/2006/relationships/printerSettings" Target="../printerSettings/printerSettings87.bin"/><Relationship Id="rId5" Type="http://schemas.openxmlformats.org/officeDocument/2006/relationships/printerSettings" Target="../printerSettings/printerSettings86.bin"/><Relationship Id="rId10" Type="http://schemas.openxmlformats.org/officeDocument/2006/relationships/printerSettings" Target="../printerSettings/printerSettings91.bin"/><Relationship Id="rId4" Type="http://schemas.openxmlformats.org/officeDocument/2006/relationships/printerSettings" Target="../printerSettings/printerSettings85.bin"/><Relationship Id="rId9" Type="http://schemas.openxmlformats.org/officeDocument/2006/relationships/printerSettings" Target="../printerSettings/printerSettings90.bin"/></Relationships>
</file>

<file path=xl/worksheets/_rels/sheet11.xml.rels><?xml version="1.0" encoding="UTF-8" standalone="yes"?>
<Relationships xmlns="http://schemas.openxmlformats.org/package/2006/relationships"><Relationship Id="rId8" Type="http://schemas.openxmlformats.org/officeDocument/2006/relationships/printerSettings" Target="../printerSettings/printerSettings99.bin"/><Relationship Id="rId3" Type="http://schemas.openxmlformats.org/officeDocument/2006/relationships/printerSettings" Target="../printerSettings/printerSettings94.bin"/><Relationship Id="rId7" Type="http://schemas.openxmlformats.org/officeDocument/2006/relationships/printerSettings" Target="../printerSettings/printerSettings98.bin"/><Relationship Id="rId2" Type="http://schemas.openxmlformats.org/officeDocument/2006/relationships/printerSettings" Target="../printerSettings/printerSettings93.bin"/><Relationship Id="rId1" Type="http://schemas.openxmlformats.org/officeDocument/2006/relationships/printerSettings" Target="../printerSettings/printerSettings92.bin"/><Relationship Id="rId6" Type="http://schemas.openxmlformats.org/officeDocument/2006/relationships/printerSettings" Target="../printerSettings/printerSettings97.bin"/><Relationship Id="rId5" Type="http://schemas.openxmlformats.org/officeDocument/2006/relationships/printerSettings" Target="../printerSettings/printerSettings96.bin"/><Relationship Id="rId10" Type="http://schemas.openxmlformats.org/officeDocument/2006/relationships/printerSettings" Target="../printerSettings/printerSettings101.bin"/><Relationship Id="rId4" Type="http://schemas.openxmlformats.org/officeDocument/2006/relationships/printerSettings" Target="../printerSettings/printerSettings95.bin"/><Relationship Id="rId9" Type="http://schemas.openxmlformats.org/officeDocument/2006/relationships/printerSettings" Target="../printerSettings/printerSettings100.bin"/></Relationships>
</file>

<file path=xl/worksheets/_rels/sheet12.xml.rels><?xml version="1.0" encoding="UTF-8" standalone="yes"?>
<Relationships xmlns="http://schemas.openxmlformats.org/package/2006/relationships"><Relationship Id="rId8" Type="http://schemas.openxmlformats.org/officeDocument/2006/relationships/printerSettings" Target="../printerSettings/printerSettings109.bin"/><Relationship Id="rId3" Type="http://schemas.openxmlformats.org/officeDocument/2006/relationships/printerSettings" Target="../printerSettings/printerSettings104.bin"/><Relationship Id="rId7" Type="http://schemas.openxmlformats.org/officeDocument/2006/relationships/printerSettings" Target="../printerSettings/printerSettings108.bin"/><Relationship Id="rId2" Type="http://schemas.openxmlformats.org/officeDocument/2006/relationships/printerSettings" Target="../printerSettings/printerSettings103.bin"/><Relationship Id="rId1" Type="http://schemas.openxmlformats.org/officeDocument/2006/relationships/printerSettings" Target="../printerSettings/printerSettings102.bin"/><Relationship Id="rId6" Type="http://schemas.openxmlformats.org/officeDocument/2006/relationships/printerSettings" Target="../printerSettings/printerSettings107.bin"/><Relationship Id="rId5" Type="http://schemas.openxmlformats.org/officeDocument/2006/relationships/printerSettings" Target="../printerSettings/printerSettings106.bin"/><Relationship Id="rId10" Type="http://schemas.openxmlformats.org/officeDocument/2006/relationships/printerSettings" Target="../printerSettings/printerSettings111.bin"/><Relationship Id="rId4" Type="http://schemas.openxmlformats.org/officeDocument/2006/relationships/printerSettings" Target="../printerSettings/printerSettings105.bin"/><Relationship Id="rId9" Type="http://schemas.openxmlformats.org/officeDocument/2006/relationships/printerSettings" Target="../printerSettings/printerSettings110.bin"/></Relationships>
</file>

<file path=xl/worksheets/_rels/sheet13.xml.rels><?xml version="1.0" encoding="UTF-8" standalone="yes"?>
<Relationships xmlns="http://schemas.openxmlformats.org/package/2006/relationships"><Relationship Id="rId8" Type="http://schemas.openxmlformats.org/officeDocument/2006/relationships/printerSettings" Target="../printerSettings/printerSettings119.bin"/><Relationship Id="rId3" Type="http://schemas.openxmlformats.org/officeDocument/2006/relationships/printerSettings" Target="../printerSettings/printerSettings114.bin"/><Relationship Id="rId7" Type="http://schemas.openxmlformats.org/officeDocument/2006/relationships/printerSettings" Target="../printerSettings/printerSettings118.bin"/><Relationship Id="rId2" Type="http://schemas.openxmlformats.org/officeDocument/2006/relationships/printerSettings" Target="../printerSettings/printerSettings113.bin"/><Relationship Id="rId1" Type="http://schemas.openxmlformats.org/officeDocument/2006/relationships/printerSettings" Target="../printerSettings/printerSettings112.bin"/><Relationship Id="rId6" Type="http://schemas.openxmlformats.org/officeDocument/2006/relationships/printerSettings" Target="../printerSettings/printerSettings117.bin"/><Relationship Id="rId5" Type="http://schemas.openxmlformats.org/officeDocument/2006/relationships/printerSettings" Target="../printerSettings/printerSettings116.bin"/><Relationship Id="rId10" Type="http://schemas.openxmlformats.org/officeDocument/2006/relationships/printerSettings" Target="../printerSettings/printerSettings121.bin"/><Relationship Id="rId4" Type="http://schemas.openxmlformats.org/officeDocument/2006/relationships/printerSettings" Target="../printerSettings/printerSettings115.bin"/><Relationship Id="rId9" Type="http://schemas.openxmlformats.org/officeDocument/2006/relationships/printerSettings" Target="../printerSettings/printerSettings120.bin"/></Relationships>
</file>

<file path=xl/worksheets/_rels/sheet14.xml.rels><?xml version="1.0" encoding="UTF-8" standalone="yes"?>
<Relationships xmlns="http://schemas.openxmlformats.org/package/2006/relationships"><Relationship Id="rId8" Type="http://schemas.openxmlformats.org/officeDocument/2006/relationships/printerSettings" Target="../printerSettings/printerSettings129.bin"/><Relationship Id="rId3" Type="http://schemas.openxmlformats.org/officeDocument/2006/relationships/printerSettings" Target="../printerSettings/printerSettings124.bin"/><Relationship Id="rId7" Type="http://schemas.openxmlformats.org/officeDocument/2006/relationships/printerSettings" Target="../printerSettings/printerSettings128.bin"/><Relationship Id="rId2" Type="http://schemas.openxmlformats.org/officeDocument/2006/relationships/printerSettings" Target="../printerSettings/printerSettings123.bin"/><Relationship Id="rId1" Type="http://schemas.openxmlformats.org/officeDocument/2006/relationships/printerSettings" Target="../printerSettings/printerSettings122.bin"/><Relationship Id="rId6" Type="http://schemas.openxmlformats.org/officeDocument/2006/relationships/printerSettings" Target="../printerSettings/printerSettings127.bin"/><Relationship Id="rId11" Type="http://schemas.openxmlformats.org/officeDocument/2006/relationships/drawing" Target="../drawings/drawing2.xml"/><Relationship Id="rId5" Type="http://schemas.openxmlformats.org/officeDocument/2006/relationships/printerSettings" Target="../printerSettings/printerSettings126.bin"/><Relationship Id="rId10" Type="http://schemas.openxmlformats.org/officeDocument/2006/relationships/printerSettings" Target="../printerSettings/printerSettings131.bin"/><Relationship Id="rId4" Type="http://schemas.openxmlformats.org/officeDocument/2006/relationships/printerSettings" Target="../printerSettings/printerSettings125.bin"/><Relationship Id="rId9" Type="http://schemas.openxmlformats.org/officeDocument/2006/relationships/printerSettings" Target="../printerSettings/printerSettings130.bin"/></Relationships>
</file>

<file path=xl/worksheets/_rels/sheet15.xml.rels><?xml version="1.0" encoding="UTF-8" standalone="yes"?>
<Relationships xmlns="http://schemas.openxmlformats.org/package/2006/relationships"><Relationship Id="rId8" Type="http://schemas.openxmlformats.org/officeDocument/2006/relationships/printerSettings" Target="../printerSettings/printerSettings139.bin"/><Relationship Id="rId3" Type="http://schemas.openxmlformats.org/officeDocument/2006/relationships/printerSettings" Target="../printerSettings/printerSettings134.bin"/><Relationship Id="rId7" Type="http://schemas.openxmlformats.org/officeDocument/2006/relationships/printerSettings" Target="../printerSettings/printerSettings138.bin"/><Relationship Id="rId2" Type="http://schemas.openxmlformats.org/officeDocument/2006/relationships/printerSettings" Target="../printerSettings/printerSettings133.bin"/><Relationship Id="rId1" Type="http://schemas.openxmlformats.org/officeDocument/2006/relationships/printerSettings" Target="../printerSettings/printerSettings132.bin"/><Relationship Id="rId6" Type="http://schemas.openxmlformats.org/officeDocument/2006/relationships/printerSettings" Target="../printerSettings/printerSettings137.bin"/><Relationship Id="rId11" Type="http://schemas.openxmlformats.org/officeDocument/2006/relationships/drawing" Target="../drawings/drawing3.xml"/><Relationship Id="rId5" Type="http://schemas.openxmlformats.org/officeDocument/2006/relationships/printerSettings" Target="../printerSettings/printerSettings136.bin"/><Relationship Id="rId10" Type="http://schemas.openxmlformats.org/officeDocument/2006/relationships/printerSettings" Target="../printerSettings/printerSettings141.bin"/><Relationship Id="rId4" Type="http://schemas.openxmlformats.org/officeDocument/2006/relationships/printerSettings" Target="../printerSettings/printerSettings135.bin"/><Relationship Id="rId9" Type="http://schemas.openxmlformats.org/officeDocument/2006/relationships/printerSettings" Target="../printerSettings/printerSettings140.bin"/></Relationships>
</file>

<file path=xl/worksheets/_rels/sheet16.xml.rels><?xml version="1.0" encoding="UTF-8" standalone="yes"?>
<Relationships xmlns="http://schemas.openxmlformats.org/package/2006/relationships"><Relationship Id="rId8" Type="http://schemas.openxmlformats.org/officeDocument/2006/relationships/printerSettings" Target="../printerSettings/printerSettings149.bin"/><Relationship Id="rId3" Type="http://schemas.openxmlformats.org/officeDocument/2006/relationships/printerSettings" Target="../printerSettings/printerSettings144.bin"/><Relationship Id="rId7" Type="http://schemas.openxmlformats.org/officeDocument/2006/relationships/printerSettings" Target="../printerSettings/printerSettings148.bin"/><Relationship Id="rId2" Type="http://schemas.openxmlformats.org/officeDocument/2006/relationships/printerSettings" Target="../printerSettings/printerSettings143.bin"/><Relationship Id="rId1" Type="http://schemas.openxmlformats.org/officeDocument/2006/relationships/printerSettings" Target="../printerSettings/printerSettings142.bin"/><Relationship Id="rId6" Type="http://schemas.openxmlformats.org/officeDocument/2006/relationships/printerSettings" Target="../printerSettings/printerSettings147.bin"/><Relationship Id="rId11" Type="http://schemas.openxmlformats.org/officeDocument/2006/relationships/drawing" Target="../drawings/drawing4.xml"/><Relationship Id="rId5" Type="http://schemas.openxmlformats.org/officeDocument/2006/relationships/printerSettings" Target="../printerSettings/printerSettings146.bin"/><Relationship Id="rId10" Type="http://schemas.openxmlformats.org/officeDocument/2006/relationships/printerSettings" Target="../printerSettings/printerSettings151.bin"/><Relationship Id="rId4" Type="http://schemas.openxmlformats.org/officeDocument/2006/relationships/printerSettings" Target="../printerSettings/printerSettings145.bin"/><Relationship Id="rId9" Type="http://schemas.openxmlformats.org/officeDocument/2006/relationships/printerSettings" Target="../printerSettings/printerSettings150.bin"/></Relationships>
</file>

<file path=xl/worksheets/_rels/sheet17.xml.rels><?xml version="1.0" encoding="UTF-8" standalone="yes"?>
<Relationships xmlns="http://schemas.openxmlformats.org/package/2006/relationships"><Relationship Id="rId8" Type="http://schemas.openxmlformats.org/officeDocument/2006/relationships/printerSettings" Target="../printerSettings/printerSettings159.bin"/><Relationship Id="rId3" Type="http://schemas.openxmlformats.org/officeDocument/2006/relationships/printerSettings" Target="../printerSettings/printerSettings154.bin"/><Relationship Id="rId7" Type="http://schemas.openxmlformats.org/officeDocument/2006/relationships/printerSettings" Target="../printerSettings/printerSettings158.bin"/><Relationship Id="rId2" Type="http://schemas.openxmlformats.org/officeDocument/2006/relationships/printerSettings" Target="../printerSettings/printerSettings153.bin"/><Relationship Id="rId1" Type="http://schemas.openxmlformats.org/officeDocument/2006/relationships/printerSettings" Target="../printerSettings/printerSettings152.bin"/><Relationship Id="rId6" Type="http://schemas.openxmlformats.org/officeDocument/2006/relationships/printerSettings" Target="../printerSettings/printerSettings157.bin"/><Relationship Id="rId11" Type="http://schemas.openxmlformats.org/officeDocument/2006/relationships/drawing" Target="../drawings/drawing5.xml"/><Relationship Id="rId5" Type="http://schemas.openxmlformats.org/officeDocument/2006/relationships/printerSettings" Target="../printerSettings/printerSettings156.bin"/><Relationship Id="rId10" Type="http://schemas.openxmlformats.org/officeDocument/2006/relationships/printerSettings" Target="../printerSettings/printerSettings161.bin"/><Relationship Id="rId4" Type="http://schemas.openxmlformats.org/officeDocument/2006/relationships/printerSettings" Target="../printerSettings/printerSettings155.bin"/><Relationship Id="rId9" Type="http://schemas.openxmlformats.org/officeDocument/2006/relationships/printerSettings" Target="../printerSettings/printerSettings160.bin"/></Relationships>
</file>

<file path=xl/worksheets/_rels/sheet18.xml.rels><?xml version="1.0" encoding="UTF-8" standalone="yes"?>
<Relationships xmlns="http://schemas.openxmlformats.org/package/2006/relationships"><Relationship Id="rId8" Type="http://schemas.openxmlformats.org/officeDocument/2006/relationships/printerSettings" Target="../printerSettings/printerSettings169.bin"/><Relationship Id="rId3" Type="http://schemas.openxmlformats.org/officeDocument/2006/relationships/printerSettings" Target="../printerSettings/printerSettings164.bin"/><Relationship Id="rId7" Type="http://schemas.openxmlformats.org/officeDocument/2006/relationships/printerSettings" Target="../printerSettings/printerSettings168.bin"/><Relationship Id="rId2" Type="http://schemas.openxmlformats.org/officeDocument/2006/relationships/printerSettings" Target="../printerSettings/printerSettings163.bin"/><Relationship Id="rId1" Type="http://schemas.openxmlformats.org/officeDocument/2006/relationships/printerSettings" Target="../printerSettings/printerSettings162.bin"/><Relationship Id="rId6" Type="http://schemas.openxmlformats.org/officeDocument/2006/relationships/printerSettings" Target="../printerSettings/printerSettings167.bin"/><Relationship Id="rId5" Type="http://schemas.openxmlformats.org/officeDocument/2006/relationships/printerSettings" Target="../printerSettings/printerSettings166.bin"/><Relationship Id="rId10" Type="http://schemas.openxmlformats.org/officeDocument/2006/relationships/printerSettings" Target="../printerSettings/printerSettings171.bin"/><Relationship Id="rId4" Type="http://schemas.openxmlformats.org/officeDocument/2006/relationships/printerSettings" Target="../printerSettings/printerSettings165.bin"/><Relationship Id="rId9" Type="http://schemas.openxmlformats.org/officeDocument/2006/relationships/printerSettings" Target="../printerSettings/printerSettings170.bin"/></Relationships>
</file>

<file path=xl/worksheets/_rels/sheet19.xml.rels><?xml version="1.0" encoding="UTF-8" standalone="yes"?>
<Relationships xmlns="http://schemas.openxmlformats.org/package/2006/relationships"><Relationship Id="rId8" Type="http://schemas.openxmlformats.org/officeDocument/2006/relationships/printerSettings" Target="../printerSettings/printerSettings179.bin"/><Relationship Id="rId3" Type="http://schemas.openxmlformats.org/officeDocument/2006/relationships/printerSettings" Target="../printerSettings/printerSettings174.bin"/><Relationship Id="rId7" Type="http://schemas.openxmlformats.org/officeDocument/2006/relationships/printerSettings" Target="../printerSettings/printerSettings178.bin"/><Relationship Id="rId2" Type="http://schemas.openxmlformats.org/officeDocument/2006/relationships/printerSettings" Target="../printerSettings/printerSettings173.bin"/><Relationship Id="rId1" Type="http://schemas.openxmlformats.org/officeDocument/2006/relationships/printerSettings" Target="../printerSettings/printerSettings172.bin"/><Relationship Id="rId6" Type="http://schemas.openxmlformats.org/officeDocument/2006/relationships/printerSettings" Target="../printerSettings/printerSettings177.bin"/><Relationship Id="rId5" Type="http://schemas.openxmlformats.org/officeDocument/2006/relationships/printerSettings" Target="../printerSettings/printerSettings176.bin"/><Relationship Id="rId10" Type="http://schemas.openxmlformats.org/officeDocument/2006/relationships/printerSettings" Target="../printerSettings/printerSettings181.bin"/><Relationship Id="rId4" Type="http://schemas.openxmlformats.org/officeDocument/2006/relationships/printerSettings" Target="../printerSettings/printerSettings175.bin"/><Relationship Id="rId9" Type="http://schemas.openxmlformats.org/officeDocument/2006/relationships/printerSettings" Target="../printerSettings/printerSettings180.bin"/></Relationships>
</file>

<file path=xl/worksheets/_rels/sheet32.xml.rels><?xml version="1.0" encoding="UTF-8" standalone="yes"?>
<Relationships xmlns="http://schemas.openxmlformats.org/package/2006/relationships"><Relationship Id="rId8" Type="http://schemas.openxmlformats.org/officeDocument/2006/relationships/printerSettings" Target="../printerSettings/printerSettings189.bin"/><Relationship Id="rId3" Type="http://schemas.openxmlformats.org/officeDocument/2006/relationships/printerSettings" Target="../printerSettings/printerSettings184.bin"/><Relationship Id="rId7" Type="http://schemas.openxmlformats.org/officeDocument/2006/relationships/printerSettings" Target="../printerSettings/printerSettings188.bin"/><Relationship Id="rId2" Type="http://schemas.openxmlformats.org/officeDocument/2006/relationships/printerSettings" Target="../printerSettings/printerSettings183.bin"/><Relationship Id="rId1" Type="http://schemas.openxmlformats.org/officeDocument/2006/relationships/printerSettings" Target="../printerSettings/printerSettings182.bin"/><Relationship Id="rId6" Type="http://schemas.openxmlformats.org/officeDocument/2006/relationships/printerSettings" Target="../printerSettings/printerSettings187.bin"/><Relationship Id="rId5" Type="http://schemas.openxmlformats.org/officeDocument/2006/relationships/printerSettings" Target="../printerSettings/printerSettings186.bin"/><Relationship Id="rId10" Type="http://schemas.openxmlformats.org/officeDocument/2006/relationships/printerSettings" Target="../printerSettings/printerSettings191.bin"/><Relationship Id="rId4" Type="http://schemas.openxmlformats.org/officeDocument/2006/relationships/printerSettings" Target="../printerSettings/printerSettings185.bin"/><Relationship Id="rId9" Type="http://schemas.openxmlformats.org/officeDocument/2006/relationships/printerSettings" Target="../printerSettings/printerSettings190.bin"/></Relationships>
</file>

<file path=xl/worksheets/_rels/sheet33.xml.rels><?xml version="1.0" encoding="UTF-8" standalone="yes"?>
<Relationships xmlns="http://schemas.openxmlformats.org/package/2006/relationships"><Relationship Id="rId8" Type="http://schemas.openxmlformats.org/officeDocument/2006/relationships/printerSettings" Target="../printerSettings/printerSettings199.bin"/><Relationship Id="rId3" Type="http://schemas.openxmlformats.org/officeDocument/2006/relationships/printerSettings" Target="../printerSettings/printerSettings194.bin"/><Relationship Id="rId7" Type="http://schemas.openxmlformats.org/officeDocument/2006/relationships/printerSettings" Target="../printerSettings/printerSettings198.bin"/><Relationship Id="rId2" Type="http://schemas.openxmlformats.org/officeDocument/2006/relationships/printerSettings" Target="../printerSettings/printerSettings193.bin"/><Relationship Id="rId1" Type="http://schemas.openxmlformats.org/officeDocument/2006/relationships/printerSettings" Target="../printerSettings/printerSettings192.bin"/><Relationship Id="rId6" Type="http://schemas.openxmlformats.org/officeDocument/2006/relationships/printerSettings" Target="../printerSettings/printerSettings197.bin"/><Relationship Id="rId5" Type="http://schemas.openxmlformats.org/officeDocument/2006/relationships/printerSettings" Target="../printerSettings/printerSettings196.bin"/><Relationship Id="rId10" Type="http://schemas.openxmlformats.org/officeDocument/2006/relationships/printerSettings" Target="../printerSettings/printerSettings201.bin"/><Relationship Id="rId4" Type="http://schemas.openxmlformats.org/officeDocument/2006/relationships/printerSettings" Target="../printerSettings/printerSettings195.bin"/><Relationship Id="rId9" Type="http://schemas.openxmlformats.org/officeDocument/2006/relationships/printerSettings" Target="../printerSettings/printerSettings200.bin"/></Relationships>
</file>

<file path=xl/worksheets/_rels/sheet34.xml.rels><?xml version="1.0" encoding="UTF-8" standalone="yes"?>
<Relationships xmlns="http://schemas.openxmlformats.org/package/2006/relationships"><Relationship Id="rId8" Type="http://schemas.openxmlformats.org/officeDocument/2006/relationships/printerSettings" Target="../printerSettings/printerSettings209.bin"/><Relationship Id="rId3" Type="http://schemas.openxmlformats.org/officeDocument/2006/relationships/printerSettings" Target="../printerSettings/printerSettings204.bin"/><Relationship Id="rId7" Type="http://schemas.openxmlformats.org/officeDocument/2006/relationships/printerSettings" Target="../printerSettings/printerSettings208.bin"/><Relationship Id="rId2" Type="http://schemas.openxmlformats.org/officeDocument/2006/relationships/printerSettings" Target="../printerSettings/printerSettings203.bin"/><Relationship Id="rId1" Type="http://schemas.openxmlformats.org/officeDocument/2006/relationships/printerSettings" Target="../printerSettings/printerSettings202.bin"/><Relationship Id="rId6" Type="http://schemas.openxmlformats.org/officeDocument/2006/relationships/printerSettings" Target="../printerSettings/printerSettings207.bin"/><Relationship Id="rId5" Type="http://schemas.openxmlformats.org/officeDocument/2006/relationships/printerSettings" Target="../printerSettings/printerSettings206.bin"/><Relationship Id="rId10" Type="http://schemas.openxmlformats.org/officeDocument/2006/relationships/printerSettings" Target="../printerSettings/printerSettings211.bin"/><Relationship Id="rId4" Type="http://schemas.openxmlformats.org/officeDocument/2006/relationships/printerSettings" Target="../printerSettings/printerSettings205.bin"/><Relationship Id="rId9" Type="http://schemas.openxmlformats.org/officeDocument/2006/relationships/printerSettings" Target="../printerSettings/printerSettings210.bin"/></Relationships>
</file>

<file path=xl/worksheets/_rels/sheet39.xml.rels><?xml version="1.0" encoding="UTF-8" standalone="yes"?>
<Relationships xmlns="http://schemas.openxmlformats.org/package/2006/relationships"><Relationship Id="rId8" Type="http://schemas.openxmlformats.org/officeDocument/2006/relationships/printerSettings" Target="../printerSettings/printerSettings219.bin"/><Relationship Id="rId3" Type="http://schemas.openxmlformats.org/officeDocument/2006/relationships/printerSettings" Target="../printerSettings/printerSettings214.bin"/><Relationship Id="rId7" Type="http://schemas.openxmlformats.org/officeDocument/2006/relationships/printerSettings" Target="../printerSettings/printerSettings218.bin"/><Relationship Id="rId2" Type="http://schemas.openxmlformats.org/officeDocument/2006/relationships/printerSettings" Target="../printerSettings/printerSettings213.bin"/><Relationship Id="rId1" Type="http://schemas.openxmlformats.org/officeDocument/2006/relationships/printerSettings" Target="../printerSettings/printerSettings212.bin"/><Relationship Id="rId6" Type="http://schemas.openxmlformats.org/officeDocument/2006/relationships/printerSettings" Target="../printerSettings/printerSettings217.bin"/><Relationship Id="rId5" Type="http://schemas.openxmlformats.org/officeDocument/2006/relationships/printerSettings" Target="../printerSettings/printerSettings216.bin"/><Relationship Id="rId10" Type="http://schemas.openxmlformats.org/officeDocument/2006/relationships/printerSettings" Target="../printerSettings/printerSettings221.bin"/><Relationship Id="rId4" Type="http://schemas.openxmlformats.org/officeDocument/2006/relationships/printerSettings" Target="../printerSettings/printerSettings215.bin"/><Relationship Id="rId9" Type="http://schemas.openxmlformats.org/officeDocument/2006/relationships/printerSettings" Target="../printerSettings/printerSettings220.bin"/></Relationships>
</file>

<file path=xl/worksheets/_rels/sheet40.xml.rels><?xml version="1.0" encoding="UTF-8" standalone="yes"?>
<Relationships xmlns="http://schemas.openxmlformats.org/package/2006/relationships"><Relationship Id="rId8" Type="http://schemas.openxmlformats.org/officeDocument/2006/relationships/printerSettings" Target="../printerSettings/printerSettings229.bin"/><Relationship Id="rId3" Type="http://schemas.openxmlformats.org/officeDocument/2006/relationships/printerSettings" Target="../printerSettings/printerSettings224.bin"/><Relationship Id="rId7" Type="http://schemas.openxmlformats.org/officeDocument/2006/relationships/printerSettings" Target="../printerSettings/printerSettings228.bin"/><Relationship Id="rId2" Type="http://schemas.openxmlformats.org/officeDocument/2006/relationships/printerSettings" Target="../printerSettings/printerSettings223.bin"/><Relationship Id="rId1" Type="http://schemas.openxmlformats.org/officeDocument/2006/relationships/printerSettings" Target="../printerSettings/printerSettings222.bin"/><Relationship Id="rId6" Type="http://schemas.openxmlformats.org/officeDocument/2006/relationships/printerSettings" Target="../printerSettings/printerSettings227.bin"/><Relationship Id="rId5" Type="http://schemas.openxmlformats.org/officeDocument/2006/relationships/printerSettings" Target="../printerSettings/printerSettings226.bin"/><Relationship Id="rId10" Type="http://schemas.openxmlformats.org/officeDocument/2006/relationships/printerSettings" Target="../printerSettings/printerSettings231.bin"/><Relationship Id="rId4" Type="http://schemas.openxmlformats.org/officeDocument/2006/relationships/printerSettings" Target="../printerSettings/printerSettings225.bin"/><Relationship Id="rId9" Type="http://schemas.openxmlformats.org/officeDocument/2006/relationships/printerSettings" Target="../printerSettings/printerSettings23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232.bin"/></Relationships>
</file>

<file path=xl/worksheets/_rels/sheet42.xml.rels><?xml version="1.0" encoding="UTF-8" standalone="yes"?>
<Relationships xmlns="http://schemas.openxmlformats.org/package/2006/relationships"><Relationship Id="rId8" Type="http://schemas.openxmlformats.org/officeDocument/2006/relationships/printerSettings" Target="../printerSettings/printerSettings240.bin"/><Relationship Id="rId3" Type="http://schemas.openxmlformats.org/officeDocument/2006/relationships/printerSettings" Target="../printerSettings/printerSettings235.bin"/><Relationship Id="rId7" Type="http://schemas.openxmlformats.org/officeDocument/2006/relationships/printerSettings" Target="../printerSettings/printerSettings239.bin"/><Relationship Id="rId2" Type="http://schemas.openxmlformats.org/officeDocument/2006/relationships/printerSettings" Target="../printerSettings/printerSettings234.bin"/><Relationship Id="rId1" Type="http://schemas.openxmlformats.org/officeDocument/2006/relationships/printerSettings" Target="../printerSettings/printerSettings233.bin"/><Relationship Id="rId6" Type="http://schemas.openxmlformats.org/officeDocument/2006/relationships/printerSettings" Target="../printerSettings/printerSettings238.bin"/><Relationship Id="rId5" Type="http://schemas.openxmlformats.org/officeDocument/2006/relationships/printerSettings" Target="../printerSettings/printerSettings237.bin"/><Relationship Id="rId10" Type="http://schemas.openxmlformats.org/officeDocument/2006/relationships/printerSettings" Target="../printerSettings/printerSettings242.bin"/><Relationship Id="rId4" Type="http://schemas.openxmlformats.org/officeDocument/2006/relationships/printerSettings" Target="../printerSettings/printerSettings236.bin"/><Relationship Id="rId9" Type="http://schemas.openxmlformats.org/officeDocument/2006/relationships/printerSettings" Target="../printerSettings/printerSettings241.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2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2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246.bin"/></Relationships>
</file>

<file path=xl/worksheets/_rels/sheet47.xml.rels><?xml version="1.0" encoding="UTF-8" standalone="yes"?>
<Relationships xmlns="http://schemas.openxmlformats.org/package/2006/relationships"><Relationship Id="rId8" Type="http://schemas.openxmlformats.org/officeDocument/2006/relationships/printerSettings" Target="../printerSettings/printerSettings254.bin"/><Relationship Id="rId3" Type="http://schemas.openxmlformats.org/officeDocument/2006/relationships/printerSettings" Target="../printerSettings/printerSettings249.bin"/><Relationship Id="rId7" Type="http://schemas.openxmlformats.org/officeDocument/2006/relationships/printerSettings" Target="../printerSettings/printerSettings253.bin"/><Relationship Id="rId2" Type="http://schemas.openxmlformats.org/officeDocument/2006/relationships/printerSettings" Target="../printerSettings/printerSettings248.bin"/><Relationship Id="rId1" Type="http://schemas.openxmlformats.org/officeDocument/2006/relationships/printerSettings" Target="../printerSettings/printerSettings247.bin"/><Relationship Id="rId6" Type="http://schemas.openxmlformats.org/officeDocument/2006/relationships/printerSettings" Target="../printerSettings/printerSettings252.bin"/><Relationship Id="rId11" Type="http://schemas.openxmlformats.org/officeDocument/2006/relationships/drawing" Target="../drawings/drawing10.xml"/><Relationship Id="rId5" Type="http://schemas.openxmlformats.org/officeDocument/2006/relationships/printerSettings" Target="../printerSettings/printerSettings251.bin"/><Relationship Id="rId10" Type="http://schemas.openxmlformats.org/officeDocument/2006/relationships/printerSettings" Target="../printerSettings/printerSettings256.bin"/><Relationship Id="rId4" Type="http://schemas.openxmlformats.org/officeDocument/2006/relationships/printerSettings" Target="../printerSettings/printerSettings250.bin"/><Relationship Id="rId9" Type="http://schemas.openxmlformats.org/officeDocument/2006/relationships/printerSettings" Target="../printerSettings/printerSettings255.bin"/></Relationships>
</file>

<file path=xl/worksheets/_rels/sheet48.xml.rels><?xml version="1.0" encoding="UTF-8" standalone="yes"?>
<Relationships xmlns="http://schemas.openxmlformats.org/package/2006/relationships"><Relationship Id="rId8" Type="http://schemas.openxmlformats.org/officeDocument/2006/relationships/printerSettings" Target="../printerSettings/printerSettings264.bin"/><Relationship Id="rId3" Type="http://schemas.openxmlformats.org/officeDocument/2006/relationships/printerSettings" Target="../printerSettings/printerSettings259.bin"/><Relationship Id="rId7" Type="http://schemas.openxmlformats.org/officeDocument/2006/relationships/printerSettings" Target="../printerSettings/printerSettings263.bin"/><Relationship Id="rId2" Type="http://schemas.openxmlformats.org/officeDocument/2006/relationships/printerSettings" Target="../printerSettings/printerSettings258.bin"/><Relationship Id="rId1" Type="http://schemas.openxmlformats.org/officeDocument/2006/relationships/printerSettings" Target="../printerSettings/printerSettings257.bin"/><Relationship Id="rId6" Type="http://schemas.openxmlformats.org/officeDocument/2006/relationships/printerSettings" Target="../printerSettings/printerSettings262.bin"/><Relationship Id="rId11" Type="http://schemas.openxmlformats.org/officeDocument/2006/relationships/drawing" Target="../drawings/drawing11.xml"/><Relationship Id="rId5" Type="http://schemas.openxmlformats.org/officeDocument/2006/relationships/printerSettings" Target="../printerSettings/printerSettings261.bin"/><Relationship Id="rId10" Type="http://schemas.openxmlformats.org/officeDocument/2006/relationships/printerSettings" Target="../printerSettings/printerSettings266.bin"/><Relationship Id="rId4" Type="http://schemas.openxmlformats.org/officeDocument/2006/relationships/printerSettings" Target="../printerSettings/printerSettings260.bin"/><Relationship Id="rId9" Type="http://schemas.openxmlformats.org/officeDocument/2006/relationships/printerSettings" Target="../printerSettings/printerSettings265.bin"/></Relationships>
</file>

<file path=xl/worksheets/_rels/sheet49.xml.rels><?xml version="1.0" encoding="UTF-8" standalone="yes"?>
<Relationships xmlns="http://schemas.openxmlformats.org/package/2006/relationships"><Relationship Id="rId8" Type="http://schemas.openxmlformats.org/officeDocument/2006/relationships/printerSettings" Target="../printerSettings/printerSettings274.bin"/><Relationship Id="rId3" Type="http://schemas.openxmlformats.org/officeDocument/2006/relationships/printerSettings" Target="../printerSettings/printerSettings269.bin"/><Relationship Id="rId7" Type="http://schemas.openxmlformats.org/officeDocument/2006/relationships/printerSettings" Target="../printerSettings/printerSettings273.bin"/><Relationship Id="rId2" Type="http://schemas.openxmlformats.org/officeDocument/2006/relationships/printerSettings" Target="../printerSettings/printerSettings268.bin"/><Relationship Id="rId1" Type="http://schemas.openxmlformats.org/officeDocument/2006/relationships/printerSettings" Target="../printerSettings/printerSettings267.bin"/><Relationship Id="rId6" Type="http://schemas.openxmlformats.org/officeDocument/2006/relationships/printerSettings" Target="../printerSettings/printerSettings272.bin"/><Relationship Id="rId5" Type="http://schemas.openxmlformats.org/officeDocument/2006/relationships/printerSettings" Target="../printerSettings/printerSettings271.bin"/><Relationship Id="rId10" Type="http://schemas.openxmlformats.org/officeDocument/2006/relationships/printerSettings" Target="../printerSettings/printerSettings276.bin"/><Relationship Id="rId4" Type="http://schemas.openxmlformats.org/officeDocument/2006/relationships/printerSettings" Target="../printerSettings/printerSettings270.bin"/><Relationship Id="rId9" Type="http://schemas.openxmlformats.org/officeDocument/2006/relationships/printerSettings" Target="../printerSettings/printerSettings275.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277.bin"/></Relationships>
</file>

<file path=xl/worksheets/_rels/sheet51.xml.rels><?xml version="1.0" encoding="UTF-8" standalone="yes"?>
<Relationships xmlns="http://schemas.openxmlformats.org/package/2006/relationships"><Relationship Id="rId8" Type="http://schemas.openxmlformats.org/officeDocument/2006/relationships/printerSettings" Target="../printerSettings/printerSettings285.bin"/><Relationship Id="rId3" Type="http://schemas.openxmlformats.org/officeDocument/2006/relationships/printerSettings" Target="../printerSettings/printerSettings280.bin"/><Relationship Id="rId7" Type="http://schemas.openxmlformats.org/officeDocument/2006/relationships/printerSettings" Target="../printerSettings/printerSettings284.bin"/><Relationship Id="rId2" Type="http://schemas.openxmlformats.org/officeDocument/2006/relationships/printerSettings" Target="../printerSettings/printerSettings279.bin"/><Relationship Id="rId1" Type="http://schemas.openxmlformats.org/officeDocument/2006/relationships/printerSettings" Target="../printerSettings/printerSettings278.bin"/><Relationship Id="rId6" Type="http://schemas.openxmlformats.org/officeDocument/2006/relationships/printerSettings" Target="../printerSettings/printerSettings283.bin"/><Relationship Id="rId11" Type="http://schemas.openxmlformats.org/officeDocument/2006/relationships/drawing" Target="../drawings/drawing12.xml"/><Relationship Id="rId5" Type="http://schemas.openxmlformats.org/officeDocument/2006/relationships/printerSettings" Target="../printerSettings/printerSettings282.bin"/><Relationship Id="rId10" Type="http://schemas.openxmlformats.org/officeDocument/2006/relationships/printerSettings" Target="../printerSettings/printerSettings287.bin"/><Relationship Id="rId4" Type="http://schemas.openxmlformats.org/officeDocument/2006/relationships/printerSettings" Target="../printerSettings/printerSettings281.bin"/><Relationship Id="rId9" Type="http://schemas.openxmlformats.org/officeDocument/2006/relationships/printerSettings" Target="../printerSettings/printerSettings286.bin"/></Relationships>
</file>

<file path=xl/worksheets/_rels/sheet52.xml.rels><?xml version="1.0" encoding="UTF-8" standalone="yes"?>
<Relationships xmlns="http://schemas.openxmlformats.org/package/2006/relationships"><Relationship Id="rId8" Type="http://schemas.openxmlformats.org/officeDocument/2006/relationships/printerSettings" Target="../printerSettings/printerSettings295.bin"/><Relationship Id="rId3" Type="http://schemas.openxmlformats.org/officeDocument/2006/relationships/printerSettings" Target="../printerSettings/printerSettings290.bin"/><Relationship Id="rId7" Type="http://schemas.openxmlformats.org/officeDocument/2006/relationships/printerSettings" Target="../printerSettings/printerSettings294.bin"/><Relationship Id="rId2" Type="http://schemas.openxmlformats.org/officeDocument/2006/relationships/printerSettings" Target="../printerSettings/printerSettings289.bin"/><Relationship Id="rId1" Type="http://schemas.openxmlformats.org/officeDocument/2006/relationships/printerSettings" Target="../printerSettings/printerSettings288.bin"/><Relationship Id="rId6" Type="http://schemas.openxmlformats.org/officeDocument/2006/relationships/printerSettings" Target="../printerSettings/printerSettings293.bin"/><Relationship Id="rId11" Type="http://schemas.openxmlformats.org/officeDocument/2006/relationships/drawing" Target="../drawings/drawing13.xml"/><Relationship Id="rId5" Type="http://schemas.openxmlformats.org/officeDocument/2006/relationships/printerSettings" Target="../printerSettings/printerSettings292.bin"/><Relationship Id="rId10" Type="http://schemas.openxmlformats.org/officeDocument/2006/relationships/printerSettings" Target="../printerSettings/printerSettings297.bin"/><Relationship Id="rId4" Type="http://schemas.openxmlformats.org/officeDocument/2006/relationships/printerSettings" Target="../printerSettings/printerSettings291.bin"/><Relationship Id="rId9" Type="http://schemas.openxmlformats.org/officeDocument/2006/relationships/printerSettings" Target="../printerSettings/printerSettings296.bin"/></Relationships>
</file>

<file path=xl/worksheets/_rels/sheet53.xml.rels><?xml version="1.0" encoding="UTF-8" standalone="yes"?>
<Relationships xmlns="http://schemas.openxmlformats.org/package/2006/relationships"><Relationship Id="rId8" Type="http://schemas.openxmlformats.org/officeDocument/2006/relationships/printerSettings" Target="../printerSettings/printerSettings305.bin"/><Relationship Id="rId3" Type="http://schemas.openxmlformats.org/officeDocument/2006/relationships/printerSettings" Target="../printerSettings/printerSettings300.bin"/><Relationship Id="rId7" Type="http://schemas.openxmlformats.org/officeDocument/2006/relationships/printerSettings" Target="../printerSettings/printerSettings304.bin"/><Relationship Id="rId2" Type="http://schemas.openxmlformats.org/officeDocument/2006/relationships/printerSettings" Target="../printerSettings/printerSettings299.bin"/><Relationship Id="rId1" Type="http://schemas.openxmlformats.org/officeDocument/2006/relationships/printerSettings" Target="../printerSettings/printerSettings298.bin"/><Relationship Id="rId6" Type="http://schemas.openxmlformats.org/officeDocument/2006/relationships/printerSettings" Target="../printerSettings/printerSettings303.bin"/><Relationship Id="rId11" Type="http://schemas.openxmlformats.org/officeDocument/2006/relationships/drawing" Target="../drawings/drawing14.xml"/><Relationship Id="rId5" Type="http://schemas.openxmlformats.org/officeDocument/2006/relationships/printerSettings" Target="../printerSettings/printerSettings302.bin"/><Relationship Id="rId10" Type="http://schemas.openxmlformats.org/officeDocument/2006/relationships/printerSettings" Target="../printerSettings/printerSettings307.bin"/><Relationship Id="rId4" Type="http://schemas.openxmlformats.org/officeDocument/2006/relationships/printerSettings" Target="../printerSettings/printerSettings301.bin"/><Relationship Id="rId9" Type="http://schemas.openxmlformats.org/officeDocument/2006/relationships/printerSettings" Target="../printerSettings/printerSettings306.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308.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309.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310.bin"/></Relationships>
</file>

<file path=xl/worksheets/_rels/sheet57.xml.rels><?xml version="1.0" encoding="UTF-8" standalone="yes"?>
<Relationships xmlns="http://schemas.openxmlformats.org/package/2006/relationships"><Relationship Id="rId8" Type="http://schemas.openxmlformats.org/officeDocument/2006/relationships/printerSettings" Target="../printerSettings/printerSettings318.bin"/><Relationship Id="rId3" Type="http://schemas.openxmlformats.org/officeDocument/2006/relationships/printerSettings" Target="../printerSettings/printerSettings313.bin"/><Relationship Id="rId7" Type="http://schemas.openxmlformats.org/officeDocument/2006/relationships/printerSettings" Target="../printerSettings/printerSettings317.bin"/><Relationship Id="rId2" Type="http://schemas.openxmlformats.org/officeDocument/2006/relationships/printerSettings" Target="../printerSettings/printerSettings312.bin"/><Relationship Id="rId1" Type="http://schemas.openxmlformats.org/officeDocument/2006/relationships/printerSettings" Target="../printerSettings/printerSettings311.bin"/><Relationship Id="rId6" Type="http://schemas.openxmlformats.org/officeDocument/2006/relationships/printerSettings" Target="../printerSettings/printerSettings316.bin"/><Relationship Id="rId5" Type="http://schemas.openxmlformats.org/officeDocument/2006/relationships/printerSettings" Target="../printerSettings/printerSettings315.bin"/><Relationship Id="rId10" Type="http://schemas.openxmlformats.org/officeDocument/2006/relationships/printerSettings" Target="../printerSettings/printerSettings320.bin"/><Relationship Id="rId4" Type="http://schemas.openxmlformats.org/officeDocument/2006/relationships/printerSettings" Target="../printerSettings/printerSettings314.bin"/><Relationship Id="rId9" Type="http://schemas.openxmlformats.org/officeDocument/2006/relationships/printerSettings" Target="../printerSettings/printerSettings319.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321.bin"/></Relationships>
</file>

<file path=xl/worksheets/_rels/sheet60.xml.rels><?xml version="1.0" encoding="UTF-8" standalone="yes"?>
<Relationships xmlns="http://schemas.openxmlformats.org/package/2006/relationships"><Relationship Id="rId8" Type="http://schemas.openxmlformats.org/officeDocument/2006/relationships/printerSettings" Target="../printerSettings/printerSettings329.bin"/><Relationship Id="rId3" Type="http://schemas.openxmlformats.org/officeDocument/2006/relationships/printerSettings" Target="../printerSettings/printerSettings324.bin"/><Relationship Id="rId7" Type="http://schemas.openxmlformats.org/officeDocument/2006/relationships/printerSettings" Target="../printerSettings/printerSettings328.bin"/><Relationship Id="rId2" Type="http://schemas.openxmlformats.org/officeDocument/2006/relationships/printerSettings" Target="../printerSettings/printerSettings323.bin"/><Relationship Id="rId1" Type="http://schemas.openxmlformats.org/officeDocument/2006/relationships/printerSettings" Target="../printerSettings/printerSettings322.bin"/><Relationship Id="rId6" Type="http://schemas.openxmlformats.org/officeDocument/2006/relationships/printerSettings" Target="../printerSettings/printerSettings327.bin"/><Relationship Id="rId5" Type="http://schemas.openxmlformats.org/officeDocument/2006/relationships/printerSettings" Target="../printerSettings/printerSettings326.bin"/><Relationship Id="rId10" Type="http://schemas.openxmlformats.org/officeDocument/2006/relationships/printerSettings" Target="../printerSettings/printerSettings331.bin"/><Relationship Id="rId4" Type="http://schemas.openxmlformats.org/officeDocument/2006/relationships/printerSettings" Target="../printerSettings/printerSettings325.bin"/><Relationship Id="rId9" Type="http://schemas.openxmlformats.org/officeDocument/2006/relationships/printerSettings" Target="../printerSettings/printerSettings33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3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11"/>
  <sheetViews>
    <sheetView workbookViewId="0">
      <selection activeCell="A2" sqref="A1:XFD1048576"/>
    </sheetView>
  </sheetViews>
  <sheetFormatPr defaultColWidth="10.85546875" defaultRowHeight="12.75"/>
  <cols>
    <col min="1" max="16384" width="10.85546875" style="769"/>
  </cols>
  <sheetData>
    <row r="1" spans="1:1">
      <c r="A1" s="769" t="s">
        <v>0</v>
      </c>
    </row>
    <row r="2" spans="1:1">
      <c r="A2" s="769" t="s">
        <v>1</v>
      </c>
    </row>
    <row r="9" spans="1:1">
      <c r="A9" s="769" t="s">
        <v>2</v>
      </c>
    </row>
    <row r="11" spans="1:1">
      <c r="A11" s="769" t="s">
        <v>3</v>
      </c>
    </row>
  </sheetData>
  <customSheetViews>
    <customSheetView guid="{9C153D9E-615C-443B-9CD7-551163282F03}">
      <selection activeCell="A2" sqref="A2"/>
      <pageMargins left="0" right="0" top="0" bottom="0" header="0" footer="0"/>
    </customSheetView>
    <customSheetView guid="{BE9F68F7-D81B-4526-9959-D871EC50BDFF}">
      <selection activeCell="C20" sqref="C20"/>
      <pageMargins left="0" right="0" top="0" bottom="0" header="0" footer="0"/>
    </customSheetView>
  </customSheetView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dimension ref="A2:AW35"/>
  <sheetViews>
    <sheetView showGridLines="0" tabSelected="1" view="pageBreakPreview" zoomScale="120" zoomScaleNormal="100" zoomScaleSheetLayoutView="120" workbookViewId="0">
      <selection activeCell="A16" sqref="A16:AW16"/>
    </sheetView>
  </sheetViews>
  <sheetFormatPr defaultColWidth="2.7109375" defaultRowHeight="15"/>
  <cols>
    <col min="1" max="11" width="2.7109375" style="12" customWidth="1"/>
    <col min="12" max="12" width="2.7109375" style="12"/>
    <col min="13" max="13" width="9.85546875" style="12" customWidth="1"/>
    <col min="14" max="14" width="10.42578125" style="12" customWidth="1"/>
    <col min="15" max="15" width="2.7109375" style="12"/>
    <col min="16" max="30" width="2.7109375" style="12" customWidth="1"/>
    <col min="31" max="31" width="4.7109375" style="12" customWidth="1"/>
    <col min="32" max="32" width="7" style="12" customWidth="1"/>
    <col min="33" max="34" width="2.7109375" style="12"/>
    <col min="35" max="35" width="2.7109375" style="12" customWidth="1"/>
    <col min="36" max="48" width="2.7109375" style="12"/>
    <col min="49" max="16384" width="2.7109375" style="1"/>
  </cols>
  <sheetData>
    <row r="2" spans="1:49" ht="18">
      <c r="A2" s="1"/>
      <c r="B2" s="769"/>
      <c r="C2" s="769"/>
      <c r="D2" s="769"/>
      <c r="E2" s="769"/>
      <c r="F2" s="769"/>
      <c r="G2" s="769"/>
      <c r="H2" s="769"/>
      <c r="I2" s="769"/>
      <c r="J2" s="769"/>
      <c r="K2" s="769"/>
      <c r="L2" s="769"/>
      <c r="M2" s="769"/>
      <c r="N2" s="769"/>
      <c r="O2" s="769"/>
      <c r="P2" s="769"/>
      <c r="Q2" s="881"/>
      <c r="R2" s="18" t="s">
        <v>4</v>
      </c>
      <c r="S2" s="881"/>
      <c r="T2" s="19"/>
      <c r="U2" s="19"/>
      <c r="V2" s="19"/>
      <c r="W2" s="19"/>
      <c r="X2" s="19"/>
      <c r="Y2" s="19"/>
      <c r="Z2" s="19"/>
      <c r="AA2" s="19"/>
      <c r="AB2" s="19"/>
      <c r="AC2" s="769"/>
      <c r="AD2" s="881"/>
      <c r="AE2" s="881"/>
      <c r="AF2" s="881"/>
      <c r="AG2" s="881"/>
      <c r="AH2" s="881"/>
      <c r="AI2" s="881"/>
      <c r="AJ2" s="881"/>
      <c r="AK2" s="881"/>
      <c r="AL2" s="881"/>
      <c r="AM2" s="881"/>
      <c r="AN2" s="881"/>
      <c r="AO2" s="881"/>
      <c r="AP2" s="881"/>
      <c r="AQ2" s="881"/>
      <c r="AR2" s="881"/>
      <c r="AS2" s="881"/>
      <c r="AT2" s="881"/>
      <c r="AU2" s="881"/>
      <c r="AV2" s="881"/>
    </row>
    <row r="3" spans="1:49">
      <c r="A3" s="1"/>
      <c r="B3" s="769"/>
      <c r="C3" s="769"/>
      <c r="D3" s="769"/>
      <c r="E3" s="769"/>
      <c r="F3" s="769"/>
      <c r="G3" s="769"/>
      <c r="H3" s="769"/>
      <c r="I3" s="769"/>
      <c r="J3" s="769"/>
      <c r="K3" s="769"/>
      <c r="L3" s="769"/>
      <c r="M3" s="769"/>
      <c r="N3" s="769"/>
      <c r="O3" s="769"/>
      <c r="P3" s="881"/>
      <c r="Q3" s="13"/>
      <c r="R3" s="13"/>
      <c r="S3" s="13"/>
      <c r="T3" s="13"/>
      <c r="U3" s="13"/>
      <c r="V3" s="13"/>
      <c r="W3" s="13"/>
      <c r="X3" s="13"/>
      <c r="Y3" s="13"/>
      <c r="Z3" s="13"/>
      <c r="AA3" s="13"/>
      <c r="AB3" s="13"/>
      <c r="AC3" s="13"/>
      <c r="AD3" s="13"/>
      <c r="AE3" s="13"/>
      <c r="AF3" s="13"/>
      <c r="AG3" s="13"/>
      <c r="AH3" s="881"/>
      <c r="AI3" s="881"/>
      <c r="AJ3" s="881"/>
      <c r="AK3" s="881"/>
      <c r="AL3" s="881"/>
      <c r="AM3" s="881"/>
      <c r="AN3" s="881"/>
      <c r="AO3" s="881"/>
      <c r="AP3" s="881"/>
      <c r="AQ3" s="881"/>
      <c r="AR3" s="881"/>
      <c r="AS3" s="881"/>
      <c r="AT3" s="881"/>
      <c r="AU3" s="881"/>
      <c r="AV3" s="881"/>
    </row>
    <row r="4" spans="1:49">
      <c r="A4" s="11"/>
      <c r="B4" s="769"/>
      <c r="C4" s="769"/>
      <c r="D4" s="769"/>
      <c r="E4" s="769"/>
      <c r="F4" s="769"/>
      <c r="G4" s="769"/>
      <c r="H4" s="769"/>
      <c r="I4" s="769"/>
      <c r="J4" s="769"/>
      <c r="K4" s="769"/>
      <c r="L4" s="769"/>
      <c r="M4" s="769"/>
      <c r="N4" s="769"/>
      <c r="O4" s="769"/>
      <c r="P4" s="769"/>
      <c r="Q4" s="769"/>
      <c r="R4" s="769"/>
      <c r="S4" s="769"/>
      <c r="T4" s="769"/>
      <c r="U4" s="769"/>
      <c r="V4" s="769"/>
      <c r="W4" s="769"/>
      <c r="X4" s="769"/>
      <c r="Y4" s="769"/>
      <c r="Z4" s="769"/>
      <c r="AA4" s="769"/>
      <c r="AB4" s="769"/>
      <c r="AC4" s="769"/>
      <c r="AD4" s="881"/>
      <c r="AE4" s="881"/>
      <c r="AF4" s="881"/>
      <c r="AG4" s="881"/>
      <c r="AH4" s="881"/>
      <c r="AI4" s="881"/>
      <c r="AJ4" s="881"/>
      <c r="AK4" s="881"/>
      <c r="AL4" s="881"/>
      <c r="AM4" s="881"/>
      <c r="AN4" s="881"/>
      <c r="AO4" s="881"/>
      <c r="AP4" s="881"/>
      <c r="AQ4" s="881"/>
      <c r="AR4" s="881"/>
      <c r="AS4" s="881"/>
      <c r="AT4" s="881"/>
      <c r="AU4" s="881"/>
      <c r="AV4" s="881"/>
    </row>
    <row r="5" spans="1:49">
      <c r="A5" s="1"/>
      <c r="B5" s="769"/>
      <c r="C5" s="769"/>
      <c r="D5" s="769"/>
      <c r="E5" s="769"/>
      <c r="F5" s="769"/>
      <c r="G5" s="769"/>
      <c r="H5" s="1"/>
      <c r="I5" s="769"/>
      <c r="J5" s="769"/>
      <c r="K5" s="769"/>
      <c r="L5" s="769"/>
      <c r="M5" s="769"/>
      <c r="N5" s="1"/>
      <c r="O5" s="17" t="s">
        <v>5</v>
      </c>
      <c r="P5" s="1"/>
      <c r="Q5" s="1"/>
      <c r="R5" s="1"/>
      <c r="S5" s="1"/>
      <c r="T5" s="17"/>
      <c r="U5" s="17"/>
      <c r="V5" s="17"/>
      <c r="W5" s="17"/>
      <c r="X5" s="17"/>
      <c r="Y5" s="17"/>
      <c r="Z5" s="17"/>
      <c r="AA5" s="17"/>
      <c r="AB5" s="17"/>
      <c r="AC5" s="17"/>
      <c r="AD5" s="17"/>
      <c r="AE5" s="17"/>
      <c r="AF5" s="17"/>
      <c r="AG5" s="17"/>
      <c r="AH5" s="881"/>
      <c r="AI5" s="881"/>
      <c r="AJ5" s="881"/>
      <c r="AK5" s="881"/>
      <c r="AL5" s="881"/>
      <c r="AM5" s="881"/>
      <c r="AN5" s="17"/>
      <c r="AO5" s="881"/>
      <c r="AP5" s="881"/>
      <c r="AQ5" s="881"/>
      <c r="AR5" s="881"/>
      <c r="AS5" s="881"/>
      <c r="AT5" s="881"/>
      <c r="AU5" s="881"/>
      <c r="AV5" s="881"/>
    </row>
    <row r="6" spans="1:49">
      <c r="A6" s="17"/>
      <c r="B6" s="769"/>
      <c r="C6" s="769"/>
      <c r="D6" s="769"/>
      <c r="E6" s="769"/>
      <c r="F6" s="769"/>
      <c r="G6" s="769"/>
      <c r="H6" s="1"/>
      <c r="I6" s="769"/>
      <c r="J6" s="769"/>
      <c r="K6" s="769"/>
      <c r="L6" s="769"/>
      <c r="M6" s="769"/>
      <c r="N6" s="769"/>
      <c r="O6" s="769"/>
      <c r="P6" s="769"/>
      <c r="Q6" s="16"/>
      <c r="R6" s="769"/>
      <c r="S6" s="769"/>
      <c r="T6" s="1"/>
      <c r="U6" s="769"/>
      <c r="V6" s="769"/>
      <c r="W6" s="769"/>
      <c r="X6" s="769"/>
      <c r="Y6" s="769"/>
      <c r="Z6" s="769"/>
      <c r="AA6" s="769"/>
      <c r="AB6" s="769"/>
      <c r="AC6" s="769"/>
      <c r="AD6" s="881"/>
      <c r="AE6" s="881"/>
      <c r="AF6" s="881"/>
      <c r="AG6" s="881"/>
      <c r="AH6" s="881"/>
      <c r="AI6" s="881"/>
      <c r="AJ6" s="881"/>
      <c r="AK6" s="881"/>
      <c r="AL6" s="881"/>
      <c r="AM6" s="881"/>
      <c r="AN6" s="16"/>
      <c r="AO6" s="881"/>
      <c r="AP6" s="881"/>
      <c r="AQ6" s="881"/>
      <c r="AR6" s="881"/>
      <c r="AS6" s="881"/>
      <c r="AT6" s="881"/>
      <c r="AU6" s="881"/>
      <c r="AV6" s="881"/>
    </row>
    <row r="7" spans="1:49">
      <c r="A7" s="17"/>
      <c r="B7" s="769"/>
      <c r="C7" s="769"/>
      <c r="D7" s="769"/>
      <c r="E7" s="769"/>
      <c r="F7" s="769"/>
      <c r="G7" s="769"/>
      <c r="H7" s="769"/>
      <c r="I7" s="769"/>
      <c r="J7" s="769"/>
      <c r="K7" s="769"/>
      <c r="L7" s="1"/>
      <c r="M7" s="1"/>
      <c r="N7" s="1"/>
      <c r="O7" s="769"/>
      <c r="P7" s="17"/>
      <c r="Q7" s="1"/>
      <c r="R7" s="1"/>
      <c r="S7" s="881" t="s">
        <v>6</v>
      </c>
      <c r="T7" s="881"/>
      <c r="U7" s="881"/>
      <c r="V7" s="881"/>
      <c r="W7" s="881"/>
      <c r="X7" s="881"/>
      <c r="Y7" s="881"/>
      <c r="Z7" s="881"/>
      <c r="AA7" s="881"/>
      <c r="AB7" s="881"/>
      <c r="AC7" s="881"/>
      <c r="AD7" s="881"/>
      <c r="AE7" s="881"/>
      <c r="AF7" s="881"/>
      <c r="AG7" s="1"/>
      <c r="AH7" s="881"/>
      <c r="AI7" s="881"/>
      <c r="AJ7" s="881"/>
      <c r="AK7" s="881"/>
      <c r="AL7" s="881"/>
      <c r="AM7" s="881"/>
      <c r="AN7" s="881"/>
      <c r="AO7" s="881"/>
      <c r="AP7" s="881"/>
      <c r="AQ7" s="881"/>
      <c r="AR7" s="881"/>
      <c r="AS7" s="881"/>
      <c r="AT7" s="881"/>
      <c r="AU7" s="881"/>
      <c r="AV7" s="881"/>
    </row>
    <row r="8" spans="1:49" ht="15.75" thickBot="1">
      <c r="A8" s="17"/>
      <c r="B8" s="769"/>
      <c r="C8" s="769"/>
      <c r="D8" s="769"/>
      <c r="E8" s="769"/>
      <c r="F8" s="769"/>
      <c r="G8" s="769"/>
      <c r="H8" s="769"/>
      <c r="I8" s="769"/>
      <c r="J8" s="769"/>
      <c r="K8" s="769"/>
      <c r="L8" s="1"/>
      <c r="M8" s="1"/>
      <c r="N8" s="17"/>
      <c r="O8" s="769"/>
      <c r="P8" s="1"/>
      <c r="Q8" s="769"/>
      <c r="R8" s="769"/>
      <c r="S8" s="769"/>
      <c r="T8" s="769"/>
      <c r="U8" s="769"/>
      <c r="V8" s="769"/>
      <c r="W8" s="769"/>
      <c r="X8" s="769" t="s">
        <v>7</v>
      </c>
      <c r="Y8" s="769"/>
      <c r="Z8" s="769"/>
      <c r="AA8" s="769"/>
      <c r="AB8" s="769"/>
      <c r="AC8" s="769"/>
      <c r="AD8" s="881"/>
      <c r="AE8" s="881"/>
      <c r="AF8" s="881"/>
      <c r="AG8" s="881"/>
      <c r="AH8" s="881"/>
      <c r="AI8" s="881"/>
      <c r="AJ8" s="881"/>
      <c r="AK8" s="881"/>
      <c r="AL8" s="881"/>
      <c r="AM8" s="881"/>
      <c r="AN8" s="881"/>
      <c r="AO8" s="881"/>
      <c r="AP8" s="881"/>
      <c r="AQ8" s="881"/>
      <c r="AR8" s="881"/>
      <c r="AS8" s="881"/>
      <c r="AT8" s="881"/>
      <c r="AU8" s="881"/>
      <c r="AV8" s="881"/>
    </row>
    <row r="9" spans="1:49" ht="15.75" thickBot="1">
      <c r="A9" s="881"/>
      <c r="B9" s="881"/>
      <c r="C9" s="881"/>
      <c r="D9" s="881"/>
      <c r="E9" s="881"/>
      <c r="F9" s="881"/>
      <c r="G9" s="881"/>
      <c r="H9" s="881"/>
      <c r="I9" s="881"/>
      <c r="J9" s="881"/>
      <c r="K9" s="881"/>
      <c r="L9" s="881"/>
      <c r="M9" s="881"/>
      <c r="N9" s="881"/>
      <c r="O9" s="881"/>
      <c r="P9" s="881"/>
      <c r="Q9" s="881"/>
      <c r="R9" s="881"/>
      <c r="S9" s="881"/>
      <c r="T9" s="2123" t="s">
        <v>8</v>
      </c>
      <c r="U9" s="2124"/>
      <c r="V9" s="2124"/>
      <c r="W9" s="2124"/>
      <c r="X9" s="2124"/>
      <c r="Y9" s="2124"/>
      <c r="Z9" s="2124"/>
      <c r="AA9" s="2124"/>
      <c r="AB9" s="2124"/>
      <c r="AC9" s="2124"/>
      <c r="AD9" s="2124"/>
      <c r="AE9" s="2124"/>
      <c r="AF9" s="2125"/>
      <c r="AG9" s="881"/>
      <c r="AH9" s="881"/>
      <c r="AI9" s="881"/>
      <c r="AJ9" s="881"/>
      <c r="AK9" s="881"/>
      <c r="AL9" s="881"/>
      <c r="AM9" s="881"/>
      <c r="AN9" s="1"/>
      <c r="AO9" s="1"/>
      <c r="AP9" s="1"/>
      <c r="AQ9" s="1"/>
      <c r="AR9" s="1"/>
      <c r="AS9" s="1"/>
      <c r="AT9" s="1"/>
      <c r="AU9" s="1"/>
      <c r="AV9" s="1"/>
    </row>
    <row r="10" spans="1:49" ht="21" customHeight="1">
      <c r="A10" s="881"/>
      <c r="B10" s="881"/>
      <c r="C10" s="881"/>
      <c r="D10" s="881"/>
      <c r="E10" s="881"/>
      <c r="F10" s="881"/>
      <c r="G10" s="881"/>
      <c r="H10" s="881"/>
      <c r="I10" s="881"/>
      <c r="J10" s="881"/>
      <c r="K10" s="881"/>
      <c r="L10" s="881"/>
      <c r="M10" s="881"/>
      <c r="N10" s="881"/>
      <c r="O10" s="881"/>
      <c r="P10" s="881"/>
      <c r="Q10" s="881"/>
      <c r="R10" s="881"/>
      <c r="S10" s="881"/>
      <c r="T10" s="2140" t="s">
        <v>9</v>
      </c>
      <c r="U10" s="3135"/>
      <c r="V10" s="3135"/>
      <c r="W10" s="3135"/>
      <c r="X10" s="3135"/>
      <c r="Y10" s="3135"/>
      <c r="Z10" s="3135"/>
      <c r="AA10" s="3136"/>
      <c r="AB10" s="3137" t="s">
        <v>10</v>
      </c>
      <c r="AC10" s="3138"/>
      <c r="AD10" s="3138"/>
      <c r="AE10" s="3138"/>
      <c r="AF10" s="3139" t="s">
        <v>11</v>
      </c>
      <c r="AG10" s="881"/>
      <c r="AH10" s="881"/>
      <c r="AI10" s="881"/>
      <c r="AJ10" s="881"/>
      <c r="AK10" s="881"/>
      <c r="AL10" s="881"/>
      <c r="AM10" s="881"/>
      <c r="AN10" s="1"/>
      <c r="AO10" s="1"/>
      <c r="AP10" s="1"/>
      <c r="AQ10" s="1"/>
      <c r="AR10" s="1"/>
      <c r="AS10" s="1"/>
      <c r="AT10" s="1"/>
      <c r="AU10" s="1"/>
      <c r="AV10" s="1"/>
    </row>
    <row r="11" spans="1:49" ht="24" customHeight="1" thickBot="1">
      <c r="A11" s="881"/>
      <c r="B11" s="881"/>
      <c r="C11" s="881"/>
      <c r="D11" s="881"/>
      <c r="E11" s="881"/>
      <c r="F11" s="881"/>
      <c r="G11" s="881"/>
      <c r="H11" s="881"/>
      <c r="I11" s="881"/>
      <c r="J11" s="881"/>
      <c r="K11" s="881"/>
      <c r="L11" s="881"/>
      <c r="M11" s="881"/>
      <c r="N11" s="881"/>
      <c r="O11" s="881"/>
      <c r="P11" s="881"/>
      <c r="Q11" s="881"/>
      <c r="R11" s="881"/>
      <c r="S11" s="881"/>
      <c r="T11" s="3140"/>
      <c r="U11" s="3141"/>
      <c r="V11" s="3142"/>
      <c r="W11" s="3141"/>
      <c r="X11" s="3142"/>
      <c r="Y11" s="3141"/>
      <c r="Z11" s="3142"/>
      <c r="AA11" s="3141"/>
      <c r="AB11" s="3142"/>
      <c r="AC11" s="3141"/>
      <c r="AD11" s="3142"/>
      <c r="AE11" s="3143"/>
      <c r="AF11" s="3144">
        <v>2</v>
      </c>
      <c r="AG11" s="881"/>
      <c r="AH11" s="881"/>
      <c r="AI11" s="881"/>
      <c r="AJ11" s="881"/>
      <c r="AK11" s="881"/>
      <c r="AL11" s="881"/>
      <c r="AM11" s="881"/>
      <c r="AN11" s="1"/>
      <c r="AO11" s="1"/>
      <c r="AP11" s="1"/>
      <c r="AQ11" s="1"/>
      <c r="AR11" s="1"/>
      <c r="AS11" s="1"/>
      <c r="AT11" s="1"/>
      <c r="AU11" s="1"/>
      <c r="AV11" s="1"/>
    </row>
    <row r="12" spans="1:49" ht="20.100000000000001" customHeight="1">
      <c r="A12" s="881"/>
      <c r="B12" s="881"/>
      <c r="C12" s="881"/>
      <c r="D12" s="881"/>
      <c r="E12" s="881"/>
      <c r="F12" s="881"/>
      <c r="G12" s="881"/>
      <c r="H12" s="881"/>
      <c r="I12" s="881"/>
      <c r="J12" s="881"/>
      <c r="K12" s="881"/>
      <c r="L12" s="881"/>
      <c r="M12" s="881"/>
      <c r="N12" s="881"/>
      <c r="O12" s="881"/>
      <c r="P12" s="881"/>
      <c r="Q12" s="881"/>
      <c r="R12" s="881"/>
      <c r="S12" s="881"/>
      <c r="T12" s="881"/>
      <c r="U12" s="881"/>
      <c r="V12" s="881"/>
      <c r="W12" s="881"/>
      <c r="X12" s="881"/>
      <c r="Y12" s="881"/>
      <c r="Z12" s="881"/>
      <c r="AA12" s="881"/>
      <c r="AB12" s="881"/>
      <c r="AC12" s="881"/>
      <c r="AD12" s="881"/>
      <c r="AE12" s="881"/>
      <c r="AF12" s="881"/>
      <c r="AG12" s="881"/>
      <c r="AH12" s="881"/>
      <c r="AI12" s="881"/>
      <c r="AJ12" s="881"/>
      <c r="AK12" s="881"/>
      <c r="AL12" s="881"/>
      <c r="AM12" s="881"/>
      <c r="AN12" s="881"/>
      <c r="AO12" s="881"/>
      <c r="AP12" s="881"/>
      <c r="AQ12" s="881"/>
      <c r="AR12" s="881"/>
      <c r="AS12" s="881"/>
      <c r="AT12" s="881"/>
      <c r="AU12" s="881"/>
      <c r="AV12" s="881"/>
    </row>
    <row r="13" spans="1:49">
      <c r="A13" s="17"/>
      <c r="B13" s="881"/>
      <c r="C13" s="881"/>
      <c r="D13" s="881"/>
      <c r="E13" s="881"/>
      <c r="F13" s="881"/>
      <c r="G13" s="881"/>
      <c r="H13" s="1"/>
      <c r="I13" s="881"/>
      <c r="J13" s="881"/>
      <c r="K13" s="881"/>
      <c r="L13" s="881"/>
      <c r="M13" s="881"/>
      <c r="N13" s="881"/>
      <c r="O13" s="881"/>
      <c r="P13" s="881"/>
      <c r="Q13" s="1"/>
      <c r="R13" s="881"/>
      <c r="S13" s="881"/>
      <c r="T13" s="881"/>
      <c r="U13" s="881"/>
      <c r="V13" s="881"/>
      <c r="W13" s="881"/>
      <c r="X13" s="881"/>
      <c r="Y13" s="881"/>
      <c r="Z13" s="881"/>
      <c r="AA13" s="13"/>
      <c r="AB13" s="881"/>
      <c r="AC13" s="881"/>
      <c r="AD13" s="881"/>
      <c r="AE13" s="881"/>
      <c r="AF13" s="881"/>
      <c r="AG13" s="881"/>
      <c r="AH13" s="881"/>
      <c r="AI13" s="881"/>
      <c r="AJ13" s="881"/>
      <c r="AK13" s="881"/>
      <c r="AL13" s="881"/>
      <c r="AM13" s="881"/>
      <c r="AN13" s="881"/>
      <c r="AO13" s="881"/>
      <c r="AP13" s="881"/>
      <c r="AQ13" s="881"/>
      <c r="AR13" s="881"/>
      <c r="AS13" s="881"/>
      <c r="AT13" s="881"/>
      <c r="AU13" s="881"/>
      <c r="AV13" s="881"/>
    </row>
    <row r="14" spans="1:49">
      <c r="A14" s="881"/>
      <c r="B14" s="881"/>
      <c r="C14" s="881"/>
      <c r="D14" s="881"/>
      <c r="E14" s="881"/>
      <c r="F14" s="881"/>
      <c r="G14" s="881"/>
      <c r="H14" s="1"/>
      <c r="I14" s="881"/>
      <c r="J14" s="881"/>
      <c r="K14" s="881"/>
      <c r="L14" s="881"/>
      <c r="M14" s="881"/>
      <c r="N14" s="881"/>
      <c r="O14" s="881"/>
      <c r="P14" s="881"/>
      <c r="Q14" s="17"/>
      <c r="R14" s="881"/>
      <c r="S14" s="881"/>
      <c r="T14" s="881"/>
      <c r="U14" s="881"/>
      <c r="V14" s="881"/>
      <c r="W14" s="881"/>
      <c r="X14" s="881"/>
      <c r="Y14" s="881"/>
      <c r="Z14" s="881"/>
      <c r="AA14" s="881"/>
      <c r="AB14" s="881"/>
      <c r="AC14" s="881"/>
      <c r="AD14" s="881"/>
      <c r="AE14" s="881"/>
      <c r="AF14" s="881"/>
      <c r="AG14" s="881"/>
      <c r="AH14" s="881"/>
      <c r="AI14" s="881"/>
      <c r="AJ14" s="881"/>
      <c r="AK14" s="881"/>
      <c r="AL14" s="881"/>
      <c r="AM14" s="881"/>
      <c r="AN14" s="881"/>
      <c r="AO14" s="881"/>
      <c r="AP14" s="881"/>
      <c r="AQ14" s="881"/>
      <c r="AR14" s="881"/>
      <c r="AS14" s="881"/>
      <c r="AT14" s="881"/>
      <c r="AU14" s="881"/>
      <c r="AV14" s="881"/>
    </row>
    <row r="15" spans="1:49">
      <c r="A15" s="881"/>
      <c r="B15" s="881"/>
      <c r="C15" s="881"/>
      <c r="D15" s="881"/>
      <c r="E15" s="881"/>
      <c r="F15" s="881"/>
      <c r="G15" s="881"/>
      <c r="H15" s="17"/>
      <c r="I15" s="881"/>
      <c r="J15" s="881"/>
      <c r="K15" s="881"/>
      <c r="L15" s="881"/>
      <c r="M15" s="881"/>
      <c r="N15" s="881"/>
      <c r="O15" s="881"/>
      <c r="P15" s="881"/>
      <c r="Q15" s="881"/>
      <c r="R15" s="881"/>
      <c r="S15" s="881"/>
      <c r="T15" s="881"/>
      <c r="U15" s="881"/>
      <c r="V15" s="881"/>
      <c r="W15" s="881"/>
      <c r="X15" s="881"/>
      <c r="Y15" s="881"/>
      <c r="Z15" s="881"/>
      <c r="AA15" s="881"/>
      <c r="AB15" s="881"/>
      <c r="AC15" s="881"/>
      <c r="AD15" s="881"/>
      <c r="AE15" s="881"/>
      <c r="AF15" s="881"/>
      <c r="AG15" s="881"/>
      <c r="AH15" s="881"/>
      <c r="AI15" s="881"/>
      <c r="AJ15" s="881"/>
      <c r="AK15" s="881"/>
      <c r="AL15" s="881"/>
      <c r="AM15" s="881"/>
      <c r="AN15" s="881"/>
      <c r="AO15" s="881"/>
      <c r="AP15" s="881"/>
      <c r="AQ15" s="881"/>
      <c r="AR15" s="881"/>
      <c r="AS15" s="881"/>
      <c r="AT15" s="881"/>
      <c r="AU15" s="881"/>
      <c r="AV15" s="881"/>
    </row>
    <row r="16" spans="1:49" ht="15" customHeight="1">
      <c r="A16" s="2134" t="s">
        <v>12</v>
      </c>
      <c r="B16" s="2135"/>
      <c r="C16" s="2135"/>
      <c r="D16" s="2135"/>
      <c r="E16" s="2135"/>
      <c r="F16" s="2135"/>
      <c r="G16" s="2135"/>
      <c r="H16" s="2135"/>
      <c r="I16" s="2135"/>
      <c r="J16" s="2135"/>
      <c r="K16" s="2135"/>
      <c r="L16" s="2135"/>
      <c r="M16" s="2135"/>
      <c r="N16" s="2135"/>
      <c r="O16" s="2135"/>
      <c r="P16" s="2135"/>
      <c r="Q16" s="2135"/>
      <c r="R16" s="2135"/>
      <c r="S16" s="2135"/>
      <c r="T16" s="2135"/>
      <c r="U16" s="2135"/>
      <c r="V16" s="2135"/>
      <c r="W16" s="2135"/>
      <c r="X16" s="2135"/>
      <c r="Y16" s="2135"/>
      <c r="Z16" s="2135"/>
      <c r="AA16" s="2135"/>
      <c r="AB16" s="2135"/>
      <c r="AC16" s="2135"/>
      <c r="AD16" s="2135"/>
      <c r="AE16" s="2135"/>
      <c r="AF16" s="2135"/>
      <c r="AG16" s="2135"/>
      <c r="AH16" s="2135"/>
      <c r="AI16" s="2135"/>
      <c r="AJ16" s="2135"/>
      <c r="AK16" s="2135"/>
      <c r="AL16" s="2135"/>
      <c r="AM16" s="2135"/>
      <c r="AN16" s="2135"/>
      <c r="AO16" s="2135"/>
      <c r="AP16" s="2135"/>
      <c r="AQ16" s="2135"/>
      <c r="AR16" s="2135"/>
      <c r="AS16" s="2135"/>
      <c r="AT16" s="2135"/>
      <c r="AU16" s="2135"/>
      <c r="AV16" s="2135"/>
      <c r="AW16" s="2136"/>
    </row>
    <row r="17" spans="1:49" ht="15" customHeight="1">
      <c r="A17" s="2137" t="s">
        <v>13</v>
      </c>
      <c r="B17" s="2138"/>
      <c r="C17" s="2138"/>
      <c r="D17" s="2138"/>
      <c r="E17" s="2138"/>
      <c r="F17" s="2138"/>
      <c r="G17" s="2138"/>
      <c r="H17" s="2138"/>
      <c r="I17" s="2138"/>
      <c r="J17" s="2138"/>
      <c r="K17" s="2138"/>
      <c r="L17" s="2138"/>
      <c r="M17" s="2138"/>
      <c r="N17" s="2138"/>
      <c r="O17" s="2138"/>
      <c r="P17" s="2138"/>
      <c r="Q17" s="2138"/>
      <c r="R17" s="2138"/>
      <c r="S17" s="2138"/>
      <c r="T17" s="2138"/>
      <c r="U17" s="2138"/>
      <c r="V17" s="2138"/>
      <c r="W17" s="2138"/>
      <c r="X17" s="2138"/>
      <c r="Y17" s="2138"/>
      <c r="Z17" s="2138"/>
      <c r="AA17" s="2138"/>
      <c r="AB17" s="2138"/>
      <c r="AC17" s="2138"/>
      <c r="AD17" s="2138"/>
      <c r="AE17" s="2138"/>
      <c r="AF17" s="2138"/>
      <c r="AG17" s="2138"/>
      <c r="AH17" s="2138"/>
      <c r="AI17" s="2138"/>
      <c r="AJ17" s="2138"/>
      <c r="AK17" s="2138"/>
      <c r="AL17" s="2138"/>
      <c r="AM17" s="2138"/>
      <c r="AN17" s="2138"/>
      <c r="AO17" s="2138"/>
      <c r="AP17" s="2138"/>
      <c r="AQ17" s="2138"/>
      <c r="AR17" s="2138"/>
      <c r="AS17" s="2138"/>
      <c r="AT17" s="2138"/>
      <c r="AU17" s="2138"/>
      <c r="AV17" s="2138"/>
      <c r="AW17" s="2139"/>
    </row>
    <row r="18" spans="1:49" ht="15.75" customHeight="1">
      <c r="A18" s="2126" t="s">
        <v>14</v>
      </c>
      <c r="B18" s="2127"/>
      <c r="C18" s="2127"/>
      <c r="D18" s="2127"/>
      <c r="E18" s="2127"/>
      <c r="F18" s="2127"/>
      <c r="G18" s="2127"/>
      <c r="H18" s="2127"/>
      <c r="I18" s="2127"/>
      <c r="J18" s="2127"/>
      <c r="K18" s="2127"/>
      <c r="L18" s="2127"/>
      <c r="M18" s="2127"/>
      <c r="N18" s="2127"/>
      <c r="O18" s="2127"/>
      <c r="P18" s="2127"/>
      <c r="Q18" s="2127"/>
      <c r="R18" s="2127"/>
      <c r="S18" s="2127"/>
      <c r="T18" s="2127"/>
      <c r="U18" s="2127"/>
      <c r="V18" s="2127"/>
      <c r="W18" s="2127"/>
      <c r="X18" s="2127"/>
      <c r="Y18" s="2127"/>
      <c r="Z18" s="2127"/>
      <c r="AA18" s="2127"/>
      <c r="AB18" s="2127"/>
      <c r="AC18" s="2127"/>
      <c r="AD18" s="2127"/>
      <c r="AE18" s="2127"/>
      <c r="AF18" s="2127"/>
      <c r="AG18" s="2127"/>
      <c r="AH18" s="2127"/>
      <c r="AI18" s="2127"/>
      <c r="AJ18" s="2127"/>
      <c r="AK18" s="2127"/>
      <c r="AL18" s="2127"/>
      <c r="AM18" s="2127"/>
      <c r="AN18" s="2127"/>
      <c r="AO18" s="2127"/>
      <c r="AP18" s="2127"/>
      <c r="AQ18" s="2127"/>
      <c r="AR18" s="2127"/>
      <c r="AS18" s="2127"/>
      <c r="AT18" s="2127"/>
      <c r="AU18" s="2127"/>
      <c r="AV18" s="2127"/>
      <c r="AW18" s="2128"/>
    </row>
    <row r="19" spans="1:49" ht="12" customHeight="1">
      <c r="A19" s="3145"/>
      <c r="B19" s="3145"/>
      <c r="C19" s="3145"/>
      <c r="D19" s="3145"/>
      <c r="E19" s="3145"/>
      <c r="F19" s="3145"/>
      <c r="G19" s="3145"/>
      <c r="H19" s="3145"/>
      <c r="I19" s="3145"/>
      <c r="J19" s="3145"/>
      <c r="K19" s="3145"/>
      <c r="L19" s="3145"/>
      <c r="M19" s="3145"/>
      <c r="N19" s="3145"/>
      <c r="O19" s="3145"/>
      <c r="P19" s="3145"/>
      <c r="Q19" s="3145"/>
      <c r="R19" s="3145"/>
      <c r="S19" s="3145"/>
      <c r="T19" s="3145"/>
      <c r="U19" s="3145"/>
      <c r="V19" s="3145"/>
      <c r="W19" s="3145"/>
      <c r="X19" s="3145"/>
      <c r="Y19" s="3145"/>
      <c r="Z19" s="3145"/>
      <c r="AA19" s="3145"/>
      <c r="AB19" s="3145"/>
      <c r="AC19" s="3145"/>
      <c r="AD19" s="881"/>
      <c r="AE19" s="881"/>
      <c r="AF19" s="881"/>
      <c r="AG19" s="881"/>
      <c r="AH19" s="13"/>
      <c r="AI19" s="13"/>
      <c r="AJ19" s="13"/>
      <c r="AK19" s="13"/>
      <c r="AL19" s="13"/>
      <c r="AM19" s="13"/>
      <c r="AN19" s="13"/>
      <c r="AO19" s="13"/>
      <c r="AP19" s="13"/>
      <c r="AQ19" s="13"/>
      <c r="AR19" s="13"/>
      <c r="AS19" s="13"/>
      <c r="AT19" s="13"/>
      <c r="AU19" s="13"/>
      <c r="AV19" s="13"/>
    </row>
    <row r="20" spans="1:49" ht="12" customHeight="1">
      <c r="A20" s="3145"/>
      <c r="B20" s="3145"/>
      <c r="C20" s="3145"/>
      <c r="D20" s="3145"/>
      <c r="E20" s="3145"/>
      <c r="F20" s="3145"/>
      <c r="G20" s="3145"/>
      <c r="H20" s="3145"/>
      <c r="I20" s="3145"/>
      <c r="J20" s="3145"/>
      <c r="K20" s="3145"/>
      <c r="L20" s="3145"/>
      <c r="M20" s="3145"/>
      <c r="N20" s="3145"/>
      <c r="O20" s="3145"/>
      <c r="P20" s="3145"/>
      <c r="Q20" s="3145"/>
      <c r="R20" s="3145"/>
      <c r="S20" s="3145"/>
      <c r="T20" s="3145"/>
      <c r="U20" s="3145"/>
      <c r="V20" s="3145"/>
      <c r="W20" s="3145"/>
      <c r="X20" s="3145"/>
      <c r="Y20" s="3145"/>
      <c r="Z20" s="3145"/>
      <c r="AA20" s="3145"/>
      <c r="AB20" s="3145"/>
      <c r="AC20" s="3145"/>
      <c r="AD20" s="881"/>
      <c r="AE20" s="881"/>
      <c r="AF20" s="881"/>
      <c r="AG20" s="881"/>
      <c r="AH20" s="14"/>
      <c r="AI20" s="14"/>
      <c r="AJ20" s="14"/>
      <c r="AK20" s="14"/>
      <c r="AL20" s="14"/>
      <c r="AM20" s="14"/>
      <c r="AN20" s="14"/>
      <c r="AO20" s="14"/>
      <c r="AP20" s="14"/>
      <c r="AQ20" s="14"/>
      <c r="AR20" s="14"/>
      <c r="AS20" s="14"/>
      <c r="AT20" s="14"/>
      <c r="AU20" s="14"/>
      <c r="AV20" s="14"/>
      <c r="AW20" s="14"/>
    </row>
    <row r="21" spans="1:49" ht="12" customHeight="1">
      <c r="A21" s="14" t="s">
        <v>15</v>
      </c>
      <c r="B21" s="3146"/>
      <c r="C21" s="3146"/>
      <c r="D21" s="3146"/>
      <c r="E21" s="3146"/>
      <c r="F21" s="3146"/>
      <c r="G21" s="3146"/>
      <c r="H21" s="3146"/>
      <c r="I21" s="3146"/>
      <c r="J21" s="3146"/>
      <c r="K21" s="3146"/>
      <c r="L21" s="3146"/>
      <c r="M21" s="3146"/>
      <c r="N21" s="3146"/>
      <c r="O21" s="3146"/>
      <c r="P21" s="3146"/>
      <c r="Q21" s="3146"/>
      <c r="R21" s="3146"/>
      <c r="S21" s="3146"/>
      <c r="T21" s="3146"/>
      <c r="U21" s="3146"/>
      <c r="V21" s="3146"/>
      <c r="W21" s="3146"/>
      <c r="X21" s="3146"/>
      <c r="Y21" s="3146"/>
      <c r="Z21" s="3146"/>
      <c r="AA21" s="3145"/>
      <c r="AB21" s="3145"/>
      <c r="AC21" s="3145"/>
      <c r="AD21" s="881"/>
      <c r="AE21" s="881"/>
      <c r="AF21" s="881"/>
      <c r="AG21" s="80" t="s">
        <v>16</v>
      </c>
      <c r="AH21" s="81"/>
      <c r="AI21" s="81"/>
      <c r="AJ21" s="81"/>
      <c r="AK21" s="81"/>
      <c r="AL21" s="81"/>
      <c r="AM21" s="81"/>
      <c r="AN21" s="81"/>
      <c r="AO21" s="81"/>
      <c r="AP21" s="81"/>
      <c r="AQ21" s="81"/>
      <c r="AR21" s="81"/>
      <c r="AS21" s="81"/>
      <c r="AT21" s="81"/>
      <c r="AU21" s="81"/>
      <c r="AV21" s="81"/>
      <c r="AW21" s="82"/>
    </row>
    <row r="22" spans="1:49" ht="12" customHeight="1">
      <c r="A22" s="14"/>
      <c r="B22" s="3146"/>
      <c r="C22" s="3146"/>
      <c r="D22" s="3146"/>
      <c r="E22" s="3146"/>
      <c r="F22" s="3146"/>
      <c r="G22" s="3146"/>
      <c r="H22" s="3146"/>
      <c r="I22" s="3146"/>
      <c r="J22" s="3146"/>
      <c r="K22" s="3146"/>
      <c r="L22" s="3146"/>
      <c r="M22" s="3146"/>
      <c r="N22" s="3146"/>
      <c r="O22" s="3146"/>
      <c r="P22" s="3146"/>
      <c r="Q22" s="3146"/>
      <c r="R22" s="3146"/>
      <c r="S22" s="3146"/>
      <c r="T22" s="3146"/>
      <c r="U22" s="3146"/>
      <c r="V22" s="3146"/>
      <c r="W22" s="3146"/>
      <c r="X22" s="3146"/>
      <c r="Y22" s="3146"/>
      <c r="Z22" s="3146"/>
      <c r="AA22" s="3145"/>
      <c r="AB22" s="3145"/>
      <c r="AC22" s="3145"/>
      <c r="AD22" s="881"/>
      <c r="AE22" s="881"/>
      <c r="AF22" s="881"/>
      <c r="AG22" s="935"/>
      <c r="AH22" s="3146"/>
      <c r="AI22" s="881"/>
      <c r="AJ22" s="881"/>
      <c r="AK22" s="881"/>
      <c r="AL22" s="881"/>
      <c r="AM22" s="881"/>
      <c r="AN22" s="881"/>
      <c r="AO22" s="881"/>
      <c r="AP22" s="881"/>
      <c r="AQ22" s="881"/>
      <c r="AR22" s="881"/>
      <c r="AS22" s="881"/>
      <c r="AT22" s="881"/>
      <c r="AU22" s="881"/>
      <c r="AV22" s="881"/>
      <c r="AW22" s="83"/>
    </row>
    <row r="23" spans="1:49" ht="12" customHeight="1">
      <c r="A23" s="3146"/>
      <c r="B23" s="3146"/>
      <c r="C23" s="3146"/>
      <c r="D23" s="3146"/>
      <c r="E23" s="3146"/>
      <c r="F23" s="3146"/>
      <c r="G23" s="3146"/>
      <c r="H23" s="3146"/>
      <c r="I23" s="3146"/>
      <c r="J23" s="3146"/>
      <c r="K23" s="3146"/>
      <c r="L23" s="3146"/>
      <c r="M23" s="3146"/>
      <c r="N23" s="3146"/>
      <c r="O23" s="3146"/>
      <c r="P23" s="3146"/>
      <c r="Q23" s="3146"/>
      <c r="R23" s="3146"/>
      <c r="S23" s="3146"/>
      <c r="T23" s="3146"/>
      <c r="U23" s="3146"/>
      <c r="V23" s="3146"/>
      <c r="W23" s="3146"/>
      <c r="X23" s="3146"/>
      <c r="Y23" s="3146"/>
      <c r="Z23" s="3146"/>
      <c r="AA23" s="881"/>
      <c r="AB23" s="881"/>
      <c r="AC23" s="881"/>
      <c r="AD23" s="881"/>
      <c r="AE23" s="881"/>
      <c r="AF23" s="881"/>
      <c r="AG23" s="685" t="s">
        <v>17</v>
      </c>
      <c r="AH23" s="3146"/>
      <c r="AI23" s="881"/>
      <c r="AJ23" s="41"/>
      <c r="AK23" s="41"/>
      <c r="AL23" s="881"/>
      <c r="AM23" s="41"/>
      <c r="AN23" s="3147"/>
      <c r="AO23" s="3148"/>
      <c r="AP23" s="41"/>
      <c r="AQ23" s="41"/>
      <c r="AR23" s="41"/>
      <c r="AS23" s="41"/>
      <c r="AT23" s="41"/>
      <c r="AU23" s="41"/>
      <c r="AV23" s="41"/>
      <c r="AW23" s="83"/>
    </row>
    <row r="24" spans="1:49" ht="15.75">
      <c r="A24" s="3146" t="s">
        <v>18</v>
      </c>
      <c r="B24" s="3146"/>
      <c r="C24" s="3146"/>
      <c r="D24" s="3146"/>
      <c r="E24" s="3146"/>
      <c r="F24" s="3146"/>
      <c r="G24" s="3146"/>
      <c r="H24" s="3149" t="s">
        <v>19</v>
      </c>
      <c r="I24" s="3150"/>
      <c r="J24" s="881"/>
      <c r="K24" s="881"/>
      <c r="L24" s="3151"/>
      <c r="M24" s="3152"/>
      <c r="N24" s="3151"/>
      <c r="O24" s="3152"/>
      <c r="P24" s="3153"/>
      <c r="Q24" s="3154"/>
      <c r="R24" s="685"/>
      <c r="S24" s="3155"/>
      <c r="T24" s="3153"/>
      <c r="U24" s="3154"/>
      <c r="V24" s="3156"/>
      <c r="W24" s="3156"/>
      <c r="X24" s="3153"/>
      <c r="Y24" s="3154"/>
      <c r="Z24" s="3153"/>
      <c r="AA24" s="3154"/>
      <c r="AB24" s="3151"/>
      <c r="AC24" s="3152"/>
      <c r="AD24" s="881"/>
      <c r="AE24" s="881"/>
      <c r="AF24" s="881"/>
      <c r="AG24" s="685" t="s">
        <v>20</v>
      </c>
      <c r="AH24" s="41"/>
      <c r="AI24" s="881"/>
      <c r="AJ24" s="41"/>
      <c r="AK24" s="41"/>
      <c r="AL24" s="881"/>
      <c r="AM24" s="41"/>
      <c r="AN24" s="3157"/>
      <c r="AO24" s="3158"/>
      <c r="AP24" s="41"/>
      <c r="AQ24" s="41"/>
      <c r="AR24" s="41"/>
      <c r="AS24" s="41"/>
      <c r="AT24" s="41"/>
      <c r="AU24" s="41"/>
      <c r="AV24" s="41"/>
      <c r="AW24" s="83"/>
    </row>
    <row r="25" spans="1:49" ht="20.100000000000001" customHeight="1">
      <c r="A25" s="14"/>
      <c r="B25" s="3146"/>
      <c r="C25" s="3146"/>
      <c r="D25" s="3146"/>
      <c r="E25" s="3146"/>
      <c r="F25" s="3146"/>
      <c r="G25" s="3146"/>
      <c r="H25" s="3146"/>
      <c r="I25" s="3146"/>
      <c r="J25" s="3146"/>
      <c r="K25" s="3146"/>
      <c r="L25" s="3146"/>
      <c r="M25" s="3146"/>
      <c r="N25" s="3146"/>
      <c r="O25" s="3146"/>
      <c r="P25" s="3146"/>
      <c r="Q25" s="3146"/>
      <c r="R25" s="3146"/>
      <c r="S25" s="3146"/>
      <c r="T25" s="3146"/>
      <c r="U25" s="3146"/>
      <c r="V25" s="3146"/>
      <c r="W25" s="3146"/>
      <c r="X25" s="3146"/>
      <c r="Y25" s="3146"/>
      <c r="Z25" s="3146"/>
      <c r="AA25" s="881"/>
      <c r="AB25" s="881"/>
      <c r="AC25" s="881"/>
      <c r="AD25" s="881"/>
      <c r="AE25" s="881"/>
      <c r="AF25" s="881"/>
      <c r="AG25" s="686" t="s">
        <v>21</v>
      </c>
      <c r="AH25" s="43"/>
      <c r="AI25" s="43"/>
      <c r="AJ25" s="43"/>
      <c r="AK25" s="43"/>
      <c r="AL25" s="43"/>
      <c r="AM25" s="43"/>
      <c r="AN25" s="43"/>
      <c r="AO25" s="43"/>
      <c r="AP25" s="43"/>
      <c r="AQ25" s="43"/>
      <c r="AR25" s="43"/>
      <c r="AS25" s="43"/>
      <c r="AT25" s="43"/>
      <c r="AU25" s="43"/>
      <c r="AV25" s="43"/>
      <c r="AW25" s="45"/>
    </row>
    <row r="26" spans="1:49" ht="15" customHeight="1">
      <c r="A26" s="3146" t="s">
        <v>22</v>
      </c>
      <c r="B26" s="3146"/>
      <c r="C26" s="3146"/>
      <c r="D26" s="3146"/>
      <c r="E26" s="3146"/>
      <c r="F26" s="3146"/>
      <c r="G26" s="3146"/>
      <c r="H26" s="3149" t="s">
        <v>23</v>
      </c>
      <c r="I26" s="3150"/>
      <c r="J26" s="881"/>
      <c r="K26" s="881"/>
      <c r="L26" s="3151"/>
      <c r="M26" s="3152"/>
      <c r="N26" s="2142"/>
      <c r="O26" s="2143"/>
      <c r="P26" s="3153"/>
      <c r="Q26" s="3154"/>
      <c r="R26" s="685"/>
      <c r="S26" s="3155"/>
      <c r="T26" s="3153"/>
      <c r="U26" s="3154"/>
      <c r="V26" s="3156"/>
      <c r="W26" s="3156"/>
      <c r="X26" s="3153"/>
      <c r="Y26" s="3154"/>
      <c r="Z26" s="3153"/>
      <c r="AA26" s="3154"/>
      <c r="AB26" s="3151"/>
      <c r="AC26" s="3152"/>
      <c r="AD26" s="881"/>
      <c r="AE26" s="881"/>
      <c r="AF26" s="881"/>
      <c r="AG26" s="935"/>
      <c r="AH26" s="2129" t="s">
        <v>24</v>
      </c>
      <c r="AI26" s="2129"/>
      <c r="AJ26" s="2129"/>
      <c r="AK26" s="2129"/>
      <c r="AL26" s="2129"/>
      <c r="AM26" s="2129"/>
      <c r="AN26" s="2129"/>
      <c r="AO26" s="43"/>
      <c r="AP26" s="2130"/>
      <c r="AQ26" s="2131"/>
      <c r="AR26" s="43"/>
      <c r="AS26" s="43"/>
      <c r="AT26" s="43"/>
      <c r="AU26" s="43"/>
      <c r="AV26" s="43"/>
      <c r="AW26" s="43"/>
    </row>
    <row r="27" spans="1:49" ht="15.75" customHeight="1">
      <c r="A27" s="3146"/>
      <c r="B27" s="3146"/>
      <c r="C27" s="3146"/>
      <c r="D27" s="3146"/>
      <c r="E27" s="3146"/>
      <c r="F27" s="3146"/>
      <c r="G27" s="3146"/>
      <c r="H27" s="3146"/>
      <c r="I27" s="3146"/>
      <c r="J27" s="3159"/>
      <c r="K27" s="3159"/>
      <c r="L27" s="3146"/>
      <c r="M27" s="20"/>
      <c r="N27" s="20"/>
      <c r="O27" s="3160"/>
      <c r="P27" s="3146"/>
      <c r="Q27" s="3160"/>
      <c r="R27" s="3146"/>
      <c r="S27" s="3146"/>
      <c r="T27" s="3146"/>
      <c r="U27" s="3146"/>
      <c r="V27" s="3146"/>
      <c r="W27" s="3146"/>
      <c r="X27" s="3146"/>
      <c r="Y27" s="3146"/>
      <c r="Z27" s="3160"/>
      <c r="AA27" s="881"/>
      <c r="AB27" s="881"/>
      <c r="AC27" s="881"/>
      <c r="AD27" s="881"/>
      <c r="AE27" s="881"/>
      <c r="AF27" s="881"/>
      <c r="AG27" s="935"/>
      <c r="AH27" s="2129" t="s">
        <v>25</v>
      </c>
      <c r="AI27" s="2129"/>
      <c r="AJ27" s="2129"/>
      <c r="AK27" s="2129"/>
      <c r="AL27" s="2129"/>
      <c r="AM27" s="2129"/>
      <c r="AN27" s="2129"/>
      <c r="AO27" s="41"/>
      <c r="AP27" s="2132"/>
      <c r="AQ27" s="2133"/>
      <c r="AR27" s="41"/>
      <c r="AS27" s="43"/>
      <c r="AT27" s="43"/>
      <c r="AU27" s="43"/>
      <c r="AV27" s="43"/>
      <c r="AW27" s="43"/>
    </row>
    <row r="28" spans="1:49" ht="16.5">
      <c r="A28" s="3146"/>
      <c r="B28" s="3146"/>
      <c r="C28" s="3146"/>
      <c r="D28" s="3146"/>
      <c r="E28" s="3146"/>
      <c r="F28" s="3146"/>
      <c r="G28" s="3146"/>
      <c r="H28" s="3146"/>
      <c r="I28" s="3146"/>
      <c r="J28" s="3146"/>
      <c r="K28" s="3146"/>
      <c r="L28" s="3146"/>
      <c r="M28" s="15"/>
      <c r="N28" s="15"/>
      <c r="O28" s="3160"/>
      <c r="P28" s="3146"/>
      <c r="Q28" s="3160"/>
      <c r="R28" s="3160"/>
      <c r="S28" s="3160"/>
      <c r="T28" s="3160"/>
      <c r="U28" s="3160"/>
      <c r="V28" s="3160"/>
      <c r="W28" s="3160"/>
      <c r="X28" s="3160"/>
      <c r="Y28" s="3160"/>
      <c r="Z28" s="3160"/>
      <c r="AA28" s="881"/>
      <c r="AB28" s="881"/>
      <c r="AC28" s="881"/>
      <c r="AD28" s="881"/>
      <c r="AE28" s="881"/>
      <c r="AF28" s="881"/>
      <c r="AG28" s="84"/>
      <c r="AH28" s="2129" t="s">
        <v>26</v>
      </c>
      <c r="AI28" s="2129"/>
      <c r="AJ28" s="2129"/>
      <c r="AK28" s="2129"/>
      <c r="AL28" s="2129"/>
      <c r="AM28" s="2129"/>
      <c r="AN28" s="2129"/>
      <c r="AO28" s="43"/>
      <c r="AP28" s="43"/>
      <c r="AQ28" s="43"/>
      <c r="AR28" s="43"/>
      <c r="AS28" s="43"/>
      <c r="AT28" s="43"/>
      <c r="AU28" s="43"/>
      <c r="AV28" s="43"/>
      <c r="AW28" s="43"/>
    </row>
    <row r="29" spans="1:49" ht="16.5" thickBot="1">
      <c r="A29" s="881"/>
      <c r="B29" s="13" t="s">
        <v>27</v>
      </c>
      <c r="C29" s="881"/>
      <c r="D29" s="881"/>
      <c r="E29" s="881"/>
      <c r="F29" s="881"/>
      <c r="G29" s="881"/>
      <c r="H29" s="881"/>
      <c r="I29" s="881"/>
      <c r="J29" s="881"/>
      <c r="K29" s="881"/>
      <c r="L29" s="881"/>
      <c r="M29" s="881"/>
      <c r="N29" s="881"/>
      <c r="O29" s="3161"/>
      <c r="P29" s="3161"/>
      <c r="Q29" s="3161"/>
      <c r="R29" s="3161"/>
      <c r="S29" s="3161"/>
      <c r="T29" s="3161"/>
      <c r="U29" s="3161"/>
      <c r="V29" s="3161"/>
      <c r="W29" s="3161"/>
      <c r="X29" s="3161"/>
      <c r="Y29" s="3161"/>
      <c r="Z29" s="3161"/>
      <c r="AA29" s="3161"/>
      <c r="AB29" s="3161"/>
      <c r="AC29" s="3161"/>
      <c r="AD29" s="881"/>
      <c r="AE29" s="881"/>
      <c r="AF29" s="881"/>
      <c r="AG29" s="688"/>
      <c r="AH29" s="881"/>
      <c r="AI29" s="881"/>
      <c r="AJ29" s="881"/>
      <c r="AK29" s="881"/>
      <c r="AL29" s="881"/>
      <c r="AM29" s="881"/>
      <c r="AN29" s="881"/>
      <c r="AO29" s="881"/>
      <c r="AP29" s="881"/>
      <c r="AQ29" s="881"/>
      <c r="AR29" s="881"/>
      <c r="AS29" s="41"/>
      <c r="AT29" s="41"/>
      <c r="AU29" s="41"/>
      <c r="AV29" s="41"/>
      <c r="AW29" s="41"/>
    </row>
    <row r="30" spans="1:49">
      <c r="A30" s="881"/>
      <c r="B30" s="13"/>
      <c r="C30" s="881"/>
      <c r="D30" s="881"/>
      <c r="E30" s="881"/>
      <c r="F30" s="881"/>
      <c r="G30" s="881"/>
      <c r="H30" s="881"/>
      <c r="I30" s="881"/>
      <c r="J30" s="881"/>
      <c r="K30" s="881"/>
      <c r="L30" s="881"/>
      <c r="M30" s="881"/>
      <c r="N30" s="881"/>
      <c r="O30" s="881"/>
      <c r="P30" s="881"/>
      <c r="Q30" s="881"/>
      <c r="R30" s="881"/>
      <c r="S30" s="881"/>
      <c r="T30" s="881"/>
      <c r="U30" s="881"/>
      <c r="V30" s="881"/>
      <c r="W30" s="881"/>
      <c r="X30" s="881"/>
      <c r="Y30" s="881"/>
      <c r="Z30" s="881"/>
      <c r="AA30" s="881"/>
      <c r="AB30" s="881"/>
      <c r="AC30" s="881"/>
      <c r="AD30" s="881"/>
      <c r="AE30" s="881"/>
      <c r="AF30" s="881"/>
      <c r="AG30" s="689"/>
      <c r="AH30" s="687"/>
      <c r="AI30" s="687"/>
      <c r="AJ30" s="687"/>
      <c r="AK30" s="916"/>
      <c r="AL30" s="687"/>
      <c r="AM30" s="687"/>
      <c r="AN30" s="687"/>
      <c r="AO30" s="687"/>
      <c r="AP30" s="687"/>
      <c r="AQ30" s="687"/>
      <c r="AR30" s="687"/>
      <c r="AS30" s="687"/>
      <c r="AT30" s="687"/>
      <c r="AU30" s="687"/>
      <c r="AV30" s="687"/>
      <c r="AW30" s="687"/>
    </row>
    <row r="31" spans="1:49" ht="15.75" thickBot="1">
      <c r="A31" s="881"/>
      <c r="B31" s="13" t="s">
        <v>28</v>
      </c>
      <c r="C31" s="881"/>
      <c r="D31" s="881"/>
      <c r="E31" s="881"/>
      <c r="F31" s="881"/>
      <c r="G31" s="881"/>
      <c r="H31" s="881"/>
      <c r="I31" s="881"/>
      <c r="J31" s="881"/>
      <c r="K31" s="881"/>
      <c r="L31" s="881"/>
      <c r="M31" s="881"/>
      <c r="N31" s="3161"/>
      <c r="O31" s="3161"/>
      <c r="P31" s="3161"/>
      <c r="Q31" s="3161"/>
      <c r="R31" s="3161"/>
      <c r="S31" s="3161"/>
      <c r="T31" s="3161"/>
      <c r="U31" s="3161"/>
      <c r="V31" s="3161"/>
      <c r="W31" s="3161"/>
      <c r="X31" s="3161"/>
      <c r="Y31" s="3161"/>
      <c r="Z31" s="3161"/>
      <c r="AA31" s="3161"/>
      <c r="AB31" s="3161"/>
      <c r="AC31" s="3161"/>
      <c r="AD31" s="881"/>
      <c r="AE31" s="881"/>
      <c r="AF31" s="881"/>
      <c r="AG31" s="39"/>
      <c r="AH31" s="39"/>
      <c r="AI31" s="39"/>
      <c r="AJ31" s="39"/>
      <c r="AK31" s="39"/>
      <c r="AL31" s="39"/>
      <c r="AM31" s="39"/>
      <c r="AN31" s="39"/>
      <c r="AO31" s="39"/>
      <c r="AP31" s="39"/>
      <c r="AQ31" s="39"/>
      <c r="AR31" s="39"/>
      <c r="AS31" s="39"/>
      <c r="AT31" s="39"/>
      <c r="AU31" s="39"/>
      <c r="AV31" s="39"/>
      <c r="AW31" s="39"/>
    </row>
    <row r="32" spans="1:49" ht="15.75">
      <c r="A32" s="881"/>
      <c r="B32" s="13"/>
      <c r="C32" s="881"/>
      <c r="D32" s="881"/>
      <c r="E32" s="881"/>
      <c r="F32" s="881"/>
      <c r="G32" s="881"/>
      <c r="H32" s="881"/>
      <c r="I32" s="881"/>
      <c r="J32" s="881"/>
      <c r="K32" s="881"/>
      <c r="L32" s="881"/>
      <c r="M32" s="881"/>
      <c r="N32" s="881"/>
      <c r="O32" s="881"/>
      <c r="P32" s="881"/>
      <c r="Q32" s="881"/>
      <c r="R32" s="881"/>
      <c r="S32" s="881"/>
      <c r="T32" s="881"/>
      <c r="U32" s="881"/>
      <c r="V32" s="881"/>
      <c r="W32" s="881"/>
      <c r="X32" s="881"/>
      <c r="Y32" s="881"/>
      <c r="Z32" s="881"/>
      <c r="AA32" s="881"/>
      <c r="AB32" s="881"/>
      <c r="AC32" s="881"/>
      <c r="AD32" s="881"/>
      <c r="AE32" s="881"/>
      <c r="AF32" s="881"/>
      <c r="AG32" s="43"/>
      <c r="AH32" s="41"/>
      <c r="AI32" s="881"/>
      <c r="AJ32" s="41"/>
      <c r="AK32" s="41"/>
      <c r="AL32" s="881"/>
      <c r="AM32" s="41"/>
      <c r="AN32" s="41"/>
      <c r="AO32" s="41"/>
      <c r="AP32" s="41"/>
      <c r="AQ32" s="41"/>
      <c r="AR32" s="41"/>
      <c r="AS32" s="41"/>
      <c r="AT32" s="41"/>
      <c r="AU32" s="41"/>
      <c r="AV32" s="41"/>
      <c r="AW32" s="43"/>
    </row>
    <row r="33" spans="1:49" ht="15.75">
      <c r="A33" s="881"/>
      <c r="B33" s="881"/>
      <c r="C33" s="881"/>
      <c r="D33" s="881"/>
      <c r="E33" s="881"/>
      <c r="F33" s="881"/>
      <c r="G33" s="881"/>
      <c r="H33" s="881"/>
      <c r="I33" s="881"/>
      <c r="J33" s="881"/>
      <c r="K33" s="881"/>
      <c r="L33" s="881"/>
      <c r="M33" s="881"/>
      <c r="N33" s="881"/>
      <c r="O33" s="881"/>
      <c r="P33" s="881"/>
      <c r="Q33" s="881"/>
      <c r="R33" s="881"/>
      <c r="S33" s="881"/>
      <c r="T33" s="881"/>
      <c r="U33" s="881"/>
      <c r="V33" s="881"/>
      <c r="W33" s="881"/>
      <c r="X33" s="881"/>
      <c r="Y33" s="881"/>
      <c r="Z33" s="881"/>
      <c r="AA33" s="881"/>
      <c r="AB33" s="881"/>
      <c r="AC33" s="881"/>
      <c r="AD33" s="881"/>
      <c r="AE33" s="881"/>
      <c r="AF33" s="881"/>
      <c r="AG33" s="43"/>
      <c r="AH33" s="43"/>
      <c r="AI33" s="43"/>
      <c r="AJ33" s="43"/>
      <c r="AK33" s="43"/>
      <c r="AL33" s="43"/>
      <c r="AM33" s="43"/>
      <c r="AN33" s="43"/>
      <c r="AO33" s="43"/>
      <c r="AP33" s="43"/>
      <c r="AQ33" s="43"/>
      <c r="AR33" s="43"/>
      <c r="AS33" s="43"/>
      <c r="AT33" s="43"/>
      <c r="AU33" s="43"/>
      <c r="AV33" s="43"/>
      <c r="AW33" s="43"/>
    </row>
    <row r="34" spans="1:49" s="116" customFormat="1" ht="15" customHeight="1">
      <c r="A34" s="2141" t="s">
        <v>29</v>
      </c>
      <c r="B34" s="2141"/>
      <c r="C34" s="2141"/>
      <c r="D34" s="2141"/>
      <c r="E34" s="2141"/>
      <c r="F34" s="2141"/>
      <c r="G34" s="2141"/>
      <c r="H34" s="2141"/>
      <c r="I34" s="2141"/>
      <c r="J34" s="2141"/>
      <c r="K34" s="2141"/>
      <c r="L34" s="2141"/>
      <c r="M34" s="2141"/>
      <c r="N34" s="2141"/>
      <c r="O34" s="2141"/>
      <c r="P34" s="2141"/>
      <c r="Q34" s="2141"/>
      <c r="R34" s="2141"/>
      <c r="S34" s="2141"/>
      <c r="T34" s="2141"/>
      <c r="U34" s="2141"/>
      <c r="V34" s="2141"/>
      <c r="W34" s="2141"/>
      <c r="X34" s="2141"/>
      <c r="Y34" s="2141"/>
      <c r="Z34" s="2141"/>
      <c r="AA34" s="2141"/>
      <c r="AB34" s="2141"/>
      <c r="AC34" s="2141"/>
      <c r="AD34" s="2141"/>
      <c r="AE34" s="2141"/>
      <c r="AF34" s="2141"/>
      <c r="AG34" s="2141"/>
      <c r="AH34" s="2141"/>
      <c r="AI34" s="2141"/>
      <c r="AJ34" s="2141"/>
      <c r="AK34" s="2141"/>
      <c r="AL34" s="2141"/>
      <c r="AM34" s="2141"/>
      <c r="AN34" s="2141"/>
      <c r="AO34" s="2141"/>
      <c r="AP34" s="2141"/>
      <c r="AQ34" s="2141"/>
      <c r="AR34" s="2141"/>
      <c r="AS34" s="2141"/>
      <c r="AT34" s="2141"/>
      <c r="AU34" s="2141"/>
      <c r="AV34" s="2141"/>
      <c r="AW34" s="2141"/>
    </row>
    <row r="35" spans="1:49" s="116" customFormat="1">
      <c r="A35" s="2141"/>
      <c r="B35" s="2141"/>
      <c r="C35" s="2141"/>
      <c r="D35" s="2141"/>
      <c r="E35" s="2141"/>
      <c r="F35" s="2141"/>
      <c r="G35" s="2141"/>
      <c r="H35" s="2141"/>
      <c r="I35" s="2141"/>
      <c r="J35" s="2141"/>
      <c r="K35" s="2141"/>
      <c r="L35" s="2141"/>
      <c r="M35" s="2141"/>
      <c r="N35" s="2141"/>
      <c r="O35" s="2141"/>
      <c r="P35" s="2141"/>
      <c r="Q35" s="2141"/>
      <c r="R35" s="2141"/>
      <c r="S35" s="2141"/>
      <c r="T35" s="2141"/>
      <c r="U35" s="2141"/>
      <c r="V35" s="2141"/>
      <c r="W35" s="2141"/>
      <c r="X35" s="2141"/>
      <c r="Y35" s="2141"/>
      <c r="Z35" s="2141"/>
      <c r="AA35" s="2141"/>
      <c r="AB35" s="2141"/>
      <c r="AC35" s="2141"/>
      <c r="AD35" s="2141"/>
      <c r="AE35" s="2141"/>
      <c r="AF35" s="2141"/>
      <c r="AG35" s="2141"/>
      <c r="AH35" s="2141"/>
      <c r="AI35" s="2141"/>
      <c r="AJ35" s="2141"/>
      <c r="AK35" s="2141"/>
      <c r="AL35" s="2141"/>
      <c r="AM35" s="2141"/>
      <c r="AN35" s="2141"/>
      <c r="AO35" s="2141"/>
      <c r="AP35" s="2141"/>
      <c r="AQ35" s="2141"/>
      <c r="AR35" s="2141"/>
      <c r="AS35" s="2141"/>
      <c r="AT35" s="2141"/>
      <c r="AU35" s="2141"/>
      <c r="AV35" s="2141"/>
      <c r="AW35" s="2141"/>
    </row>
  </sheetData>
  <customSheetViews>
    <customSheetView guid="{9C153D9E-615C-443B-9CD7-551163282F03}" scale="90" showPageBreaks="1" showGridLines="0" view="pageBreakPreview" topLeftCell="A22">
      <selection activeCell="A34" sqref="A34:AW35"/>
      <pageMargins left="0" right="0" top="0" bottom="0" header="0" footer="0"/>
      <pageSetup scale="97" orientation="landscape" r:id="rId1"/>
      <headerFooter>
        <oddFooter>&amp;C&amp;P</oddFooter>
      </headerFooter>
    </customSheetView>
    <customSheetView guid="{BE9F68F7-D81B-4526-9959-D871EC50BDFF}" scale="90" showPageBreaks="1" showGridLines="0" view="pageBreakPreview" topLeftCell="A22">
      <selection activeCell="A34" sqref="A34:AW35"/>
      <pageMargins left="0" right="0" top="0" bottom="0" header="0" footer="0"/>
      <pageSetup scale="97" orientation="landscape" r:id="rId2"/>
      <headerFooter>
        <oddFooter>&amp;C&amp;P</oddFooter>
      </headerFooter>
    </customSheetView>
    <customSheetView guid="{EF790C5B-80DA-4544-9EB7-EFE0323B2298}" scale="90" showPageBreaks="1" showGridLines="0" view="pageBreakPreview">
      <selection activeCell="K7" sqref="K7"/>
      <pageMargins left="0" right="0" top="0" bottom="0" header="0" footer="0"/>
      <pageSetup scale="97" orientation="landscape" r:id="rId3"/>
      <headerFooter>
        <oddFooter>&amp;C&amp;P</oddFooter>
      </headerFooter>
    </customSheetView>
    <customSheetView guid="{C9D2DBB1-CD01-4732-8C86-64BE16C94753}" scale="90" showPageBreaks="1" showGridLines="0" view="pageBreakPreview">
      <selection activeCell="P31" sqref="P31"/>
      <pageMargins left="0" right="0" top="0" bottom="0" header="0" footer="0"/>
      <pageSetup scale="97" orientation="landscape" r:id="rId4"/>
      <headerFooter>
        <oddFooter>&amp;C&amp;P</oddFooter>
      </headerFooter>
    </customSheetView>
    <customSheetView guid="{BFEC163F-7C4E-49B7-9F32-15225772E72F}" scale="90" showPageBreaks="1" showGridLines="0" view="pageBreakPreview" topLeftCell="A13">
      <selection activeCell="N24" sqref="N24:O24"/>
      <pageMargins left="0" right="0" top="0" bottom="0" header="0" footer="0"/>
      <pageSetup scale="97" orientation="landscape" r:id="rId5"/>
      <headerFooter>
        <oddFooter>&amp;C&amp;P</oddFooter>
      </headerFooter>
    </customSheetView>
    <customSheetView guid="{5529DB6B-163A-4048-9107-267B30B97DF3}" scale="90" showPageBreaks="1" showGridLines="0" view="pageBreakPreview">
      <selection activeCell="AH25" sqref="AH25"/>
      <pageMargins left="0" right="0" top="0" bottom="0" header="0" footer="0"/>
      <pageSetup scale="97" orientation="landscape" r:id="rId6"/>
      <headerFooter>
        <oddFooter>&amp;C&amp;P</oddFooter>
      </headerFooter>
    </customSheetView>
    <customSheetView guid="{9B0763AA-FA4B-479A-900C-C113E8BEEFEB}" scale="90" showPageBreaks="1" showGridLines="0" view="pageBreakPreview">
      <selection activeCell="AH25" sqref="AH25"/>
      <pageMargins left="0" right="0" top="0" bottom="0" header="0" footer="0"/>
      <pageSetup scale="97" orientation="landscape" r:id="rId7"/>
      <headerFooter>
        <oddFooter>&amp;C&amp;P</oddFooter>
      </headerFooter>
    </customSheetView>
    <customSheetView guid="{89903799-8228-4A6D-8A81-7F80BC61226D}" scale="90" showPageBreaks="1" showGridLines="0" view="pageBreakPreview">
      <selection activeCell="AH25" sqref="AH25"/>
      <pageMargins left="0" right="0" top="0" bottom="0" header="0" footer="0"/>
      <pageSetup scale="97" orientation="landscape" r:id="rId8"/>
      <headerFooter>
        <oddFooter>&amp;C&amp;P</oddFooter>
      </headerFooter>
    </customSheetView>
    <customSheetView guid="{2524630E-605A-4616-AD5D-6CF7B1E9752C}" scale="90" showPageBreaks="1" showGridLines="0" view="pageBreakPreview">
      <selection activeCell="K7" sqref="K7"/>
      <pageMargins left="0" right="0" top="0" bottom="0" header="0" footer="0"/>
      <pageSetup scale="97" orientation="landscape" r:id="rId9"/>
      <headerFooter>
        <oddFooter>&amp;C&amp;P</oddFooter>
      </headerFooter>
    </customSheetView>
  </customSheetViews>
  <mergeCells count="28">
    <mergeCell ref="A34:AW35"/>
    <mergeCell ref="N24:O24"/>
    <mergeCell ref="P24:Q24"/>
    <mergeCell ref="N26:O26"/>
    <mergeCell ref="P26:Q26"/>
    <mergeCell ref="X26:Y26"/>
    <mergeCell ref="H24:I24"/>
    <mergeCell ref="AB26:AC26"/>
    <mergeCell ref="X24:Y24"/>
    <mergeCell ref="AB24:AC24"/>
    <mergeCell ref="L24:M24"/>
    <mergeCell ref="L26:M26"/>
    <mergeCell ref="H26:I26"/>
    <mergeCell ref="T26:U26"/>
    <mergeCell ref="AH26:AN26"/>
    <mergeCell ref="AH27:AN27"/>
    <mergeCell ref="AH28:AN28"/>
    <mergeCell ref="AP26:AQ27"/>
    <mergeCell ref="A16:AW16"/>
    <mergeCell ref="A17:AW17"/>
    <mergeCell ref="AB10:AE10"/>
    <mergeCell ref="T10:AA10"/>
    <mergeCell ref="T9:AF9"/>
    <mergeCell ref="A18:AW18"/>
    <mergeCell ref="Z26:AA26"/>
    <mergeCell ref="T24:U24"/>
    <mergeCell ref="Z24:AA24"/>
    <mergeCell ref="AN23:AO24"/>
  </mergeCells>
  <phoneticPr fontId="0" type="noConversion"/>
  <pageMargins left="0.314" right="0.314" top="0.11799999999999999" bottom="0.27500000000000002" header="0.157" footer="0.11799999999999999"/>
  <pageSetup scale="84" orientation="landscape" r:id="rId10"/>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K169"/>
  <sheetViews>
    <sheetView showGridLines="0" view="pageBreakPreview" topLeftCell="B16" zoomScale="140" zoomScaleNormal="120" zoomScaleSheetLayoutView="140" workbookViewId="0">
      <selection activeCell="B10" sqref="B10"/>
    </sheetView>
  </sheetViews>
  <sheetFormatPr defaultColWidth="2.7109375" defaultRowHeight="15.75"/>
  <cols>
    <col min="1" max="1" width="2.85546875" style="77" customWidth="1"/>
    <col min="2" max="2" width="59.5703125" style="46" customWidth="1"/>
    <col min="3" max="3" width="3" style="78" bestFit="1" customWidth="1"/>
    <col min="4" max="4" width="1.42578125" style="79" customWidth="1"/>
    <col min="5" max="5" width="2.85546875" style="46" customWidth="1"/>
    <col min="6" max="6" width="2.85546875" style="75" customWidth="1"/>
    <col min="7" max="7" width="55" style="46" customWidth="1"/>
    <col min="8" max="8" width="2.85546875" style="46" customWidth="1"/>
    <col min="9" max="9" width="4.42578125" style="46" customWidth="1"/>
    <col min="10" max="10" width="4" style="76" bestFit="1" customWidth="1"/>
    <col min="11" max="16384" width="2.7109375" style="46"/>
  </cols>
  <sheetData>
    <row r="1" spans="1:11" s="1" customFormat="1" ht="20.100000000000001" customHeight="1">
      <c r="A1" s="2144" t="s">
        <v>30</v>
      </c>
      <c r="B1" s="2144"/>
      <c r="C1" s="2144"/>
      <c r="D1" s="2144"/>
      <c r="E1" s="2144"/>
      <c r="F1" s="2144"/>
      <c r="G1" s="2144"/>
      <c r="H1" s="2144"/>
      <c r="I1" s="2144"/>
      <c r="J1" s="2144"/>
    </row>
    <row r="2" spans="1:11" s="1" customFormat="1" ht="20.100000000000001" customHeight="1">
      <c r="A2" s="56"/>
      <c r="B2" s="57"/>
      <c r="C2" s="58"/>
      <c r="D2" s="59"/>
      <c r="E2" s="60"/>
      <c r="F2" s="61"/>
      <c r="G2" s="57"/>
      <c r="H2" s="57"/>
      <c r="I2" s="57"/>
      <c r="J2" s="58"/>
      <c r="K2" s="57"/>
    </row>
    <row r="3" spans="1:11" s="57" customFormat="1" ht="14.1" customHeight="1">
      <c r="A3" s="52">
        <v>0</v>
      </c>
      <c r="B3" s="62" t="s">
        <v>31</v>
      </c>
      <c r="C3" s="58"/>
      <c r="D3" s="59"/>
      <c r="E3" s="63"/>
      <c r="F3" s="55">
        <v>10</v>
      </c>
      <c r="G3" s="62" t="s">
        <v>32</v>
      </c>
      <c r="H3" s="58"/>
      <c r="I3" s="65"/>
      <c r="J3" s="58"/>
      <c r="K3" s="65"/>
    </row>
    <row r="4" spans="1:11" s="65" customFormat="1" ht="18" customHeight="1">
      <c r="A4" s="53"/>
      <c r="B4" s="38" t="s">
        <v>33</v>
      </c>
      <c r="C4" s="58">
        <v>3</v>
      </c>
      <c r="D4" s="59"/>
      <c r="E4" s="63"/>
      <c r="F4" s="55"/>
      <c r="G4" s="72" t="s">
        <v>34</v>
      </c>
      <c r="J4" s="58">
        <v>45</v>
      </c>
    </row>
    <row r="5" spans="1:11" s="65" customFormat="1" ht="18" customHeight="1">
      <c r="A5" s="53"/>
      <c r="B5" s="38" t="s">
        <v>35</v>
      </c>
      <c r="C5" s="58">
        <v>3</v>
      </c>
      <c r="D5" s="59"/>
      <c r="E5" s="63"/>
      <c r="F5" s="55"/>
      <c r="G5" s="72" t="s">
        <v>36</v>
      </c>
      <c r="J5" s="65">
        <v>46</v>
      </c>
    </row>
    <row r="6" spans="1:11" s="65" customFormat="1" ht="18" customHeight="1">
      <c r="A6" s="53"/>
      <c r="B6" s="38" t="s">
        <v>37</v>
      </c>
      <c r="C6" s="58">
        <v>3</v>
      </c>
      <c r="D6" s="59"/>
      <c r="E6" s="63"/>
      <c r="F6" s="55"/>
      <c r="G6" s="72"/>
    </row>
    <row r="7" spans="1:11" s="65" customFormat="1" ht="18" customHeight="1">
      <c r="A7" s="52">
        <v>1</v>
      </c>
      <c r="B7" s="62" t="s">
        <v>38</v>
      </c>
      <c r="C7" s="58">
        <v>4</v>
      </c>
      <c r="D7" s="59"/>
      <c r="E7" s="63"/>
      <c r="F7" s="68">
        <v>11</v>
      </c>
      <c r="G7" s="62" t="s">
        <v>39</v>
      </c>
      <c r="J7" s="58">
        <v>53</v>
      </c>
    </row>
    <row r="8" spans="1:11" s="65" customFormat="1" ht="18" customHeight="1">
      <c r="A8" s="54">
        <v>2</v>
      </c>
      <c r="B8" s="62" t="s">
        <v>40</v>
      </c>
      <c r="C8" s="58">
        <v>8</v>
      </c>
      <c r="D8" s="59"/>
      <c r="E8" s="63"/>
      <c r="F8" s="68">
        <v>12</v>
      </c>
      <c r="G8" s="62" t="s">
        <v>41</v>
      </c>
      <c r="J8" s="58">
        <v>56</v>
      </c>
    </row>
    <row r="9" spans="1:11" s="65" customFormat="1" ht="18" customHeight="1">
      <c r="A9" s="52">
        <v>3</v>
      </c>
      <c r="B9" s="62" t="s">
        <v>42</v>
      </c>
      <c r="C9" s="58">
        <v>12</v>
      </c>
      <c r="D9" s="59"/>
      <c r="E9" s="63"/>
      <c r="F9" s="64">
        <v>13</v>
      </c>
      <c r="G9" s="665" t="s">
        <v>43</v>
      </c>
      <c r="H9" s="70"/>
      <c r="J9" s="58"/>
    </row>
    <row r="10" spans="1:11" s="65" customFormat="1" ht="18" customHeight="1">
      <c r="A10" s="68">
        <v>4</v>
      </c>
      <c r="B10" s="62" t="s">
        <v>44</v>
      </c>
      <c r="C10" s="58"/>
      <c r="D10" s="59"/>
      <c r="E10" s="63"/>
      <c r="F10" s="61"/>
      <c r="G10" s="67" t="s">
        <v>45</v>
      </c>
      <c r="H10" s="70"/>
      <c r="J10" s="58">
        <v>58</v>
      </c>
    </row>
    <row r="11" spans="1:11" s="65" customFormat="1" ht="18" customHeight="1">
      <c r="A11" s="71"/>
      <c r="B11" s="72" t="s">
        <v>46</v>
      </c>
      <c r="C11" s="58">
        <v>16</v>
      </c>
      <c r="D11" s="59"/>
      <c r="E11" s="63"/>
      <c r="F11" s="61"/>
      <c r="G11" s="72" t="s">
        <v>47</v>
      </c>
      <c r="H11" s="70"/>
      <c r="J11" s="58">
        <v>59</v>
      </c>
    </row>
    <row r="12" spans="1:11" s="65" customFormat="1" ht="18" customHeight="1">
      <c r="A12" s="52"/>
      <c r="B12" s="72" t="s">
        <v>48</v>
      </c>
      <c r="C12" s="58">
        <v>19</v>
      </c>
      <c r="D12" s="59"/>
      <c r="E12" s="63"/>
      <c r="F12" s="64">
        <v>14</v>
      </c>
      <c r="G12" s="62" t="s">
        <v>49</v>
      </c>
      <c r="H12" s="70"/>
      <c r="J12" s="58">
        <v>60</v>
      </c>
    </row>
    <row r="13" spans="1:11" s="65" customFormat="1" ht="18" customHeight="1">
      <c r="A13" s="71"/>
      <c r="B13" s="72" t="s">
        <v>50</v>
      </c>
      <c r="C13" s="58">
        <v>22</v>
      </c>
      <c r="D13" s="59"/>
      <c r="E13" s="63"/>
      <c r="F13" s="64">
        <v>15</v>
      </c>
      <c r="G13" s="42" t="s">
        <v>51</v>
      </c>
      <c r="H13" s="70"/>
      <c r="J13" s="58">
        <v>61</v>
      </c>
    </row>
    <row r="14" spans="1:11" s="65" customFormat="1" ht="18" customHeight="1">
      <c r="A14" s="68">
        <v>5</v>
      </c>
      <c r="B14" s="62" t="s">
        <v>52</v>
      </c>
      <c r="C14" s="58">
        <v>24</v>
      </c>
      <c r="D14" s="59"/>
      <c r="E14" s="63"/>
      <c r="F14" s="64">
        <v>16</v>
      </c>
      <c r="G14" s="42" t="s">
        <v>53</v>
      </c>
      <c r="H14" s="70"/>
      <c r="J14" s="58"/>
    </row>
    <row r="15" spans="1:11" s="65" customFormat="1" ht="18" customHeight="1">
      <c r="A15" s="68">
        <v>6</v>
      </c>
      <c r="B15" s="62" t="s">
        <v>54</v>
      </c>
      <c r="C15" s="58">
        <v>26</v>
      </c>
      <c r="D15" s="59"/>
      <c r="E15" s="63"/>
      <c r="F15" s="69"/>
      <c r="G15" s="72" t="s">
        <v>55</v>
      </c>
      <c r="H15" s="66"/>
      <c r="J15" s="58">
        <v>62</v>
      </c>
    </row>
    <row r="16" spans="1:11" s="65" customFormat="1" ht="18" customHeight="1">
      <c r="A16" s="68">
        <v>7</v>
      </c>
      <c r="B16" s="62" t="s">
        <v>56</v>
      </c>
      <c r="C16" s="58"/>
      <c r="D16" s="59"/>
      <c r="E16" s="63"/>
      <c r="F16" s="69"/>
      <c r="G16" s="67" t="s">
        <v>57</v>
      </c>
      <c r="H16" s="62"/>
      <c r="J16" s="58">
        <v>74</v>
      </c>
    </row>
    <row r="17" spans="1:11" s="65" customFormat="1" ht="18" customHeight="1">
      <c r="A17" s="71"/>
      <c r="B17" s="65" t="s">
        <v>58</v>
      </c>
      <c r="C17" s="58">
        <v>28</v>
      </c>
      <c r="D17" s="59"/>
      <c r="E17" s="63"/>
      <c r="F17" s="57"/>
      <c r="G17" s="67" t="s">
        <v>59</v>
      </c>
      <c r="H17" s="70"/>
      <c r="I17" s="47"/>
      <c r="J17" s="58">
        <v>75</v>
      </c>
    </row>
    <row r="18" spans="1:11" s="65" customFormat="1" ht="18" customHeight="1">
      <c r="A18" s="71"/>
      <c r="B18" s="65" t="s">
        <v>60</v>
      </c>
      <c r="C18" s="69">
        <v>30</v>
      </c>
      <c r="D18" s="59"/>
      <c r="E18" s="63"/>
      <c r="F18" s="92">
        <v>17</v>
      </c>
      <c r="G18" s="62" t="s">
        <v>61</v>
      </c>
      <c r="H18" s="70"/>
      <c r="I18" s="47"/>
      <c r="J18" s="58">
        <v>79</v>
      </c>
    </row>
    <row r="19" spans="1:11" s="65" customFormat="1" ht="18" customHeight="1">
      <c r="A19" s="64">
        <v>8</v>
      </c>
      <c r="B19" s="62" t="s">
        <v>62</v>
      </c>
      <c r="C19" s="57"/>
      <c r="D19" s="57"/>
      <c r="E19" s="63"/>
      <c r="F19" s="92">
        <v>18</v>
      </c>
      <c r="G19" s="62" t="s">
        <v>63</v>
      </c>
      <c r="H19" s="68"/>
      <c r="I19" s="47"/>
      <c r="J19" s="58">
        <v>88</v>
      </c>
      <c r="K19" s="47"/>
    </row>
    <row r="20" spans="1:11" s="65" customFormat="1" ht="18" customHeight="1">
      <c r="A20" s="61"/>
      <c r="B20" s="65" t="s">
        <v>64</v>
      </c>
      <c r="C20" s="58">
        <v>36</v>
      </c>
      <c r="D20" s="57"/>
      <c r="E20" s="63"/>
      <c r="F20" s="64">
        <v>19</v>
      </c>
      <c r="G20" s="93" t="s">
        <v>65</v>
      </c>
      <c r="H20" s="68"/>
      <c r="I20" s="47"/>
      <c r="J20" s="58">
        <v>89</v>
      </c>
      <c r="K20" s="47"/>
    </row>
    <row r="21" spans="1:11" s="65" customFormat="1" ht="18" customHeight="1">
      <c r="A21" s="61"/>
      <c r="B21" s="65" t="s">
        <v>66</v>
      </c>
      <c r="C21" s="58">
        <v>37</v>
      </c>
      <c r="D21" s="57"/>
      <c r="E21" s="63"/>
      <c r="F21" s="690">
        <v>20</v>
      </c>
      <c r="G21" s="690" t="s">
        <v>67</v>
      </c>
      <c r="H21" s="74"/>
      <c r="I21" s="47"/>
      <c r="J21" s="691"/>
      <c r="K21" s="47"/>
    </row>
    <row r="22" spans="1:11" s="65" customFormat="1" ht="18" customHeight="1">
      <c r="A22" s="64">
        <v>9</v>
      </c>
      <c r="B22" s="42" t="s">
        <v>68</v>
      </c>
      <c r="E22" s="63"/>
      <c r="F22" s="690"/>
      <c r="G22" s="67" t="s">
        <v>69</v>
      </c>
      <c r="H22" s="74"/>
      <c r="I22" s="47"/>
      <c r="J22" s="691">
        <v>101</v>
      </c>
      <c r="K22" s="47"/>
    </row>
    <row r="23" spans="1:11" s="65" customFormat="1" ht="18" customHeight="1">
      <c r="A23" s="64"/>
      <c r="B23" s="67" t="s">
        <v>70</v>
      </c>
      <c r="C23" s="69">
        <v>38</v>
      </c>
      <c r="D23" s="59"/>
      <c r="E23" s="63"/>
      <c r="F23" s="690"/>
      <c r="G23" s="49" t="s">
        <v>71</v>
      </c>
      <c r="H23" s="74"/>
      <c r="I23" s="47"/>
      <c r="J23" s="691">
        <v>102</v>
      </c>
      <c r="K23" s="47"/>
    </row>
    <row r="24" spans="1:11" s="65" customFormat="1" ht="18" customHeight="1">
      <c r="A24" s="64"/>
      <c r="B24" s="49" t="s">
        <v>72</v>
      </c>
      <c r="C24" s="69">
        <v>39</v>
      </c>
      <c r="D24" s="59"/>
      <c r="E24" s="63"/>
      <c r="F24" s="690"/>
      <c r="G24" s="49" t="s">
        <v>73</v>
      </c>
      <c r="H24" s="74"/>
      <c r="I24" s="47"/>
      <c r="J24" s="691">
        <v>103</v>
      </c>
      <c r="K24" s="47"/>
    </row>
    <row r="25" spans="1:11" s="65" customFormat="1" ht="18" customHeight="1">
      <c r="A25" s="69"/>
      <c r="B25" s="49" t="s">
        <v>74</v>
      </c>
      <c r="C25" s="71">
        <v>40</v>
      </c>
      <c r="D25" s="59"/>
      <c r="E25" s="63"/>
      <c r="F25" s="690"/>
      <c r="G25" s="692" t="s">
        <v>75</v>
      </c>
      <c r="H25" s="693"/>
      <c r="I25" s="47"/>
      <c r="J25" s="691">
        <v>104</v>
      </c>
      <c r="K25" s="47"/>
    </row>
    <row r="26" spans="1:11" s="65" customFormat="1" ht="18" customHeight="1">
      <c r="A26" s="69"/>
      <c r="B26" s="72" t="s">
        <v>76</v>
      </c>
      <c r="C26" s="71">
        <v>41</v>
      </c>
      <c r="D26" s="59"/>
      <c r="E26" s="63"/>
      <c r="F26" s="690"/>
      <c r="G26" s="692" t="s">
        <v>77</v>
      </c>
      <c r="H26" s="47"/>
      <c r="I26" s="47"/>
      <c r="J26" s="691">
        <v>105</v>
      </c>
      <c r="K26" s="47"/>
    </row>
    <row r="27" spans="1:11" s="65" customFormat="1" ht="18" customHeight="1">
      <c r="A27" s="69"/>
      <c r="B27" s="72" t="s">
        <v>78</v>
      </c>
      <c r="C27" s="71">
        <v>42</v>
      </c>
      <c r="D27" s="59"/>
      <c r="E27" s="63"/>
      <c r="F27" s="690"/>
      <c r="G27" s="692" t="s">
        <v>79</v>
      </c>
      <c r="H27" s="47"/>
      <c r="I27" s="47"/>
      <c r="J27" s="691">
        <v>106</v>
      </c>
      <c r="K27" s="47"/>
    </row>
    <row r="28" spans="1:11" s="65" customFormat="1" ht="18" customHeight="1">
      <c r="A28" s="69"/>
      <c r="B28" s="72" t="s">
        <v>80</v>
      </c>
      <c r="C28" s="71">
        <v>43</v>
      </c>
      <c r="D28" s="59"/>
      <c r="E28" s="63"/>
      <c r="F28" s="690"/>
      <c r="G28" s="692" t="s">
        <v>81</v>
      </c>
      <c r="H28" s="47"/>
      <c r="I28" s="47"/>
      <c r="J28" s="691">
        <v>107</v>
      </c>
      <c r="K28" s="47"/>
    </row>
    <row r="29" spans="1:11" s="65" customFormat="1" ht="18" customHeight="1">
      <c r="C29" s="71"/>
      <c r="D29" s="68"/>
      <c r="E29" s="63"/>
      <c r="F29" s="61"/>
      <c r="G29" s="47"/>
      <c r="H29" s="47"/>
      <c r="I29" s="47"/>
      <c r="J29" s="58"/>
      <c r="K29" s="47"/>
    </row>
    <row r="30" spans="1:11" s="47" customFormat="1" ht="18" customHeight="1">
      <c r="A30" s="65"/>
      <c r="B30" s="65"/>
      <c r="C30" s="71"/>
      <c r="D30" s="74"/>
      <c r="E30" s="91"/>
      <c r="F30" s="61"/>
      <c r="J30" s="58"/>
    </row>
    <row r="31" spans="1:11" s="47" customFormat="1" ht="18" customHeight="1">
      <c r="A31" s="65"/>
      <c r="B31" s="65"/>
      <c r="C31" s="71"/>
      <c r="D31" s="74"/>
      <c r="E31" s="91"/>
      <c r="F31" s="61"/>
      <c r="J31" s="58"/>
    </row>
    <row r="32" spans="1:11" s="47" customFormat="1" ht="18" customHeight="1">
      <c r="A32" s="71"/>
      <c r="B32" s="73"/>
      <c r="C32" s="71"/>
      <c r="D32" s="74"/>
      <c r="E32" s="65"/>
      <c r="F32" s="61"/>
      <c r="J32" s="58"/>
    </row>
    <row r="33" spans="1:10" s="47" customFormat="1" ht="18" customHeight="1">
      <c r="A33" s="71"/>
      <c r="B33" s="65"/>
      <c r="C33" s="71"/>
      <c r="D33" s="74"/>
      <c r="F33" s="61"/>
      <c r="J33" s="58"/>
    </row>
    <row r="34" spans="1:10" s="47" customFormat="1">
      <c r="A34" s="71"/>
      <c r="B34" s="65"/>
      <c r="C34" s="71"/>
      <c r="D34" s="74"/>
      <c r="F34" s="61"/>
      <c r="J34" s="58"/>
    </row>
    <row r="35" spans="1:10" s="47" customFormat="1">
      <c r="A35" s="71"/>
      <c r="B35" s="65"/>
      <c r="C35" s="71"/>
      <c r="D35" s="74"/>
      <c r="F35" s="61"/>
      <c r="J35" s="58"/>
    </row>
    <row r="36" spans="1:10" s="47" customFormat="1" ht="14.25" customHeight="1">
      <c r="A36" s="52"/>
      <c r="C36" s="71"/>
      <c r="D36" s="74"/>
      <c r="F36" s="61"/>
      <c r="J36" s="58"/>
    </row>
    <row r="37" spans="1:10" s="47" customFormat="1" ht="15" customHeight="1">
      <c r="A37" s="56"/>
      <c r="B37" s="73"/>
      <c r="C37" s="71"/>
      <c r="D37" s="74"/>
      <c r="F37" s="61"/>
      <c r="J37" s="58"/>
    </row>
    <row r="38" spans="1:10" s="47" customFormat="1">
      <c r="A38" s="56"/>
      <c r="B38" s="73"/>
      <c r="C38" s="71"/>
      <c r="D38" s="74"/>
      <c r="F38" s="61"/>
      <c r="J38" s="58"/>
    </row>
    <row r="39" spans="1:10" s="47" customFormat="1">
      <c r="A39" s="52"/>
      <c r="C39" s="71"/>
      <c r="D39" s="74"/>
      <c r="F39" s="61"/>
      <c r="J39" s="58"/>
    </row>
    <row r="40" spans="1:10" s="47" customFormat="1">
      <c r="A40" s="52"/>
      <c r="C40" s="71"/>
      <c r="D40" s="74"/>
      <c r="F40" s="61"/>
      <c r="J40" s="58"/>
    </row>
    <row r="41" spans="1:10" s="47" customFormat="1">
      <c r="A41" s="52"/>
      <c r="C41" s="71"/>
      <c r="D41" s="74"/>
      <c r="F41" s="61"/>
      <c r="J41" s="58"/>
    </row>
    <row r="42" spans="1:10" s="47" customFormat="1">
      <c r="A42" s="52"/>
      <c r="C42" s="71"/>
      <c r="D42" s="74"/>
      <c r="F42" s="61"/>
      <c r="J42" s="58"/>
    </row>
    <row r="43" spans="1:10" s="47" customFormat="1">
      <c r="A43" s="74"/>
      <c r="C43" s="71"/>
      <c r="D43" s="74"/>
      <c r="F43" s="61"/>
      <c r="J43" s="58"/>
    </row>
    <row r="44" spans="1:10" s="47" customFormat="1">
      <c r="A44" s="56"/>
      <c r="C44" s="71"/>
      <c r="D44" s="74"/>
      <c r="F44" s="61"/>
      <c r="J44" s="58"/>
    </row>
    <row r="45" spans="1:10" s="47" customFormat="1">
      <c r="A45" s="56"/>
      <c r="C45" s="71"/>
      <c r="D45" s="74"/>
      <c r="F45" s="61"/>
      <c r="J45" s="58"/>
    </row>
    <row r="46" spans="1:10" s="47" customFormat="1">
      <c r="A46" s="56"/>
      <c r="C46" s="71"/>
      <c r="D46" s="74"/>
      <c r="F46" s="61"/>
      <c r="J46" s="58"/>
    </row>
    <row r="47" spans="1:10" s="47" customFormat="1">
      <c r="A47" s="56"/>
      <c r="C47" s="71"/>
      <c r="D47" s="74"/>
      <c r="F47" s="61"/>
      <c r="J47" s="58"/>
    </row>
    <row r="48" spans="1:10" s="47" customFormat="1">
      <c r="A48" s="56"/>
      <c r="C48" s="71"/>
      <c r="D48" s="74"/>
      <c r="F48" s="61"/>
      <c r="J48" s="58"/>
    </row>
    <row r="49" spans="1:10" s="47" customFormat="1">
      <c r="A49" s="56"/>
      <c r="C49" s="71"/>
      <c r="D49" s="74"/>
      <c r="F49" s="61"/>
      <c r="J49" s="58"/>
    </row>
    <row r="50" spans="1:10" s="47" customFormat="1">
      <c r="A50" s="56"/>
      <c r="C50" s="71"/>
      <c r="D50" s="74"/>
      <c r="F50" s="61"/>
      <c r="J50" s="58"/>
    </row>
    <row r="51" spans="1:10" s="47" customFormat="1">
      <c r="A51" s="56"/>
      <c r="C51" s="71"/>
      <c r="D51" s="74"/>
      <c r="F51" s="61"/>
      <c r="J51" s="58"/>
    </row>
    <row r="52" spans="1:10" s="47" customFormat="1">
      <c r="A52" s="56"/>
      <c r="C52" s="71"/>
      <c r="D52" s="74"/>
      <c r="F52" s="61"/>
      <c r="J52" s="58"/>
    </row>
    <row r="53" spans="1:10" s="47" customFormat="1">
      <c r="A53" s="56"/>
      <c r="C53" s="71"/>
      <c r="D53" s="74"/>
      <c r="F53" s="61"/>
      <c r="J53" s="58"/>
    </row>
    <row r="54" spans="1:10" s="47" customFormat="1">
      <c r="A54" s="56"/>
      <c r="C54" s="71"/>
      <c r="D54" s="74"/>
      <c r="F54" s="61"/>
      <c r="J54" s="58"/>
    </row>
    <row r="55" spans="1:10" s="47" customFormat="1">
      <c r="A55" s="56"/>
      <c r="C55" s="71"/>
      <c r="D55" s="74"/>
      <c r="F55" s="61"/>
      <c r="J55" s="58"/>
    </row>
    <row r="56" spans="1:10" s="47" customFormat="1">
      <c r="A56" s="56"/>
      <c r="C56" s="71"/>
      <c r="D56" s="74"/>
      <c r="F56" s="61"/>
      <c r="J56" s="58"/>
    </row>
    <row r="57" spans="1:10" s="47" customFormat="1">
      <c r="A57" s="56"/>
      <c r="C57" s="71"/>
      <c r="D57" s="74"/>
      <c r="F57" s="61"/>
      <c r="J57" s="58"/>
    </row>
    <row r="58" spans="1:10" s="47" customFormat="1">
      <c r="A58" s="56"/>
      <c r="C58" s="71"/>
      <c r="D58" s="74"/>
      <c r="F58" s="61"/>
      <c r="J58" s="58"/>
    </row>
    <row r="59" spans="1:10" s="47" customFormat="1">
      <c r="A59" s="56"/>
      <c r="C59" s="71"/>
      <c r="D59" s="74"/>
      <c r="F59" s="61"/>
      <c r="J59" s="58"/>
    </row>
    <row r="60" spans="1:10" s="47" customFormat="1">
      <c r="A60" s="56"/>
      <c r="C60" s="71"/>
      <c r="D60" s="74"/>
      <c r="F60" s="61"/>
      <c r="J60" s="58"/>
    </row>
    <row r="61" spans="1:10" s="47" customFormat="1">
      <c r="A61" s="56"/>
      <c r="C61" s="71"/>
      <c r="D61" s="74"/>
      <c r="F61" s="61"/>
      <c r="J61" s="58"/>
    </row>
    <row r="62" spans="1:10" s="47" customFormat="1">
      <c r="A62" s="56"/>
      <c r="C62" s="71"/>
      <c r="D62" s="74"/>
      <c r="F62" s="61"/>
      <c r="J62" s="58"/>
    </row>
    <row r="63" spans="1:10" s="47" customFormat="1">
      <c r="A63" s="56"/>
      <c r="C63" s="71"/>
      <c r="D63" s="74"/>
      <c r="F63" s="61"/>
      <c r="J63" s="58"/>
    </row>
    <row r="64" spans="1:10" s="47" customFormat="1">
      <c r="A64" s="56"/>
      <c r="C64" s="71"/>
      <c r="D64" s="74"/>
      <c r="F64" s="61"/>
      <c r="J64" s="58"/>
    </row>
    <row r="65" spans="1:10" s="47" customFormat="1">
      <c r="A65" s="56"/>
      <c r="C65" s="71"/>
      <c r="D65" s="74"/>
      <c r="F65" s="61"/>
      <c r="J65" s="58"/>
    </row>
    <row r="66" spans="1:10" s="47" customFormat="1">
      <c r="A66" s="56"/>
      <c r="C66" s="71"/>
      <c r="D66" s="74"/>
      <c r="F66" s="61"/>
      <c r="J66" s="58"/>
    </row>
    <row r="67" spans="1:10" s="47" customFormat="1">
      <c r="A67" s="56"/>
      <c r="C67" s="71"/>
      <c r="D67" s="74"/>
      <c r="F67" s="61"/>
      <c r="J67" s="58"/>
    </row>
    <row r="68" spans="1:10" s="47" customFormat="1">
      <c r="A68" s="56"/>
      <c r="C68" s="71"/>
      <c r="D68" s="74"/>
      <c r="F68" s="61"/>
      <c r="J68" s="58"/>
    </row>
    <row r="69" spans="1:10" s="47" customFormat="1">
      <c r="A69" s="56"/>
      <c r="C69" s="71"/>
      <c r="D69" s="74"/>
      <c r="F69" s="61"/>
      <c r="J69" s="58"/>
    </row>
    <row r="70" spans="1:10" s="47" customFormat="1">
      <c r="A70" s="56"/>
      <c r="C70" s="71"/>
      <c r="D70" s="74"/>
      <c r="F70" s="61"/>
      <c r="J70" s="58"/>
    </row>
    <row r="71" spans="1:10" s="47" customFormat="1">
      <c r="A71" s="56"/>
      <c r="C71" s="71"/>
      <c r="D71" s="74"/>
      <c r="F71" s="61"/>
      <c r="J71" s="58"/>
    </row>
    <row r="72" spans="1:10" s="47" customFormat="1">
      <c r="A72" s="56"/>
      <c r="C72" s="71"/>
      <c r="D72" s="74"/>
      <c r="F72" s="61"/>
      <c r="J72" s="58"/>
    </row>
    <row r="73" spans="1:10" s="47" customFormat="1">
      <c r="A73" s="56"/>
      <c r="C73" s="71"/>
      <c r="D73" s="74"/>
      <c r="F73" s="61"/>
      <c r="J73" s="58"/>
    </row>
    <row r="74" spans="1:10" s="47" customFormat="1">
      <c r="A74" s="56"/>
      <c r="C74" s="71"/>
      <c r="D74" s="74"/>
      <c r="F74" s="61"/>
      <c r="J74" s="58"/>
    </row>
    <row r="75" spans="1:10" s="47" customFormat="1">
      <c r="A75" s="56"/>
      <c r="C75" s="71"/>
      <c r="D75" s="74"/>
      <c r="F75" s="61"/>
      <c r="J75" s="58"/>
    </row>
    <row r="76" spans="1:10" s="47" customFormat="1">
      <c r="A76" s="56"/>
      <c r="C76" s="71"/>
      <c r="D76" s="74"/>
      <c r="F76" s="61"/>
      <c r="J76" s="58"/>
    </row>
    <row r="77" spans="1:10" s="47" customFormat="1">
      <c r="A77" s="56"/>
      <c r="C77" s="71"/>
      <c r="D77" s="74"/>
      <c r="F77" s="61"/>
      <c r="J77" s="58"/>
    </row>
    <row r="78" spans="1:10" s="47" customFormat="1">
      <c r="A78" s="56"/>
      <c r="C78" s="71"/>
      <c r="D78" s="74"/>
      <c r="F78" s="61"/>
      <c r="J78" s="58"/>
    </row>
    <row r="79" spans="1:10" s="47" customFormat="1">
      <c r="A79" s="56"/>
      <c r="C79" s="71"/>
      <c r="D79" s="74"/>
      <c r="F79" s="61"/>
      <c r="J79" s="58"/>
    </row>
    <row r="80" spans="1:10" s="47" customFormat="1">
      <c r="A80" s="56"/>
      <c r="C80" s="71"/>
      <c r="D80" s="74"/>
      <c r="F80" s="61"/>
      <c r="J80" s="58"/>
    </row>
    <row r="81" spans="1:10" s="47" customFormat="1">
      <c r="A81" s="56"/>
      <c r="C81" s="71"/>
      <c r="D81" s="74"/>
      <c r="F81" s="61"/>
      <c r="J81" s="58"/>
    </row>
    <row r="82" spans="1:10" s="47" customFormat="1">
      <c r="A82" s="56"/>
      <c r="C82" s="71"/>
      <c r="D82" s="74"/>
      <c r="F82" s="61"/>
      <c r="J82" s="58"/>
    </row>
    <row r="83" spans="1:10" s="47" customFormat="1">
      <c r="A83" s="56"/>
      <c r="C83" s="71"/>
      <c r="D83" s="74"/>
      <c r="F83" s="61"/>
      <c r="J83" s="58"/>
    </row>
    <row r="84" spans="1:10" s="47" customFormat="1">
      <c r="A84" s="56"/>
      <c r="C84" s="71"/>
      <c r="D84" s="74"/>
      <c r="F84" s="61"/>
      <c r="J84" s="58"/>
    </row>
    <row r="85" spans="1:10" s="47" customFormat="1">
      <c r="A85" s="56"/>
      <c r="C85" s="71"/>
      <c r="D85" s="74"/>
      <c r="F85" s="61"/>
      <c r="J85" s="58"/>
    </row>
    <row r="86" spans="1:10" s="47" customFormat="1">
      <c r="A86" s="56"/>
      <c r="C86" s="71"/>
      <c r="D86" s="74"/>
      <c r="F86" s="61"/>
      <c r="J86" s="58"/>
    </row>
    <row r="87" spans="1:10" s="47" customFormat="1">
      <c r="A87" s="56"/>
      <c r="C87" s="71"/>
      <c r="D87" s="74"/>
      <c r="F87" s="61"/>
      <c r="J87" s="58"/>
    </row>
    <row r="88" spans="1:10" s="47" customFormat="1">
      <c r="A88" s="56"/>
      <c r="C88" s="71"/>
      <c r="D88" s="74"/>
      <c r="F88" s="61"/>
      <c r="J88" s="58"/>
    </row>
    <row r="89" spans="1:10" s="47" customFormat="1">
      <c r="A89" s="56"/>
      <c r="C89" s="71"/>
      <c r="D89" s="74"/>
      <c r="F89" s="61"/>
      <c r="J89" s="58"/>
    </row>
    <row r="90" spans="1:10" s="47" customFormat="1">
      <c r="A90" s="56"/>
      <c r="C90" s="71"/>
      <c r="D90" s="74"/>
      <c r="F90" s="61"/>
      <c r="J90" s="58"/>
    </row>
    <row r="91" spans="1:10" s="47" customFormat="1">
      <c r="A91" s="56"/>
      <c r="C91" s="71"/>
      <c r="D91" s="74"/>
      <c r="F91" s="61"/>
      <c r="J91" s="58"/>
    </row>
    <row r="92" spans="1:10" s="47" customFormat="1">
      <c r="A92" s="56"/>
      <c r="C92" s="71"/>
      <c r="D92" s="74"/>
      <c r="F92" s="61"/>
      <c r="J92" s="58"/>
    </row>
    <row r="93" spans="1:10" s="47" customFormat="1">
      <c r="A93" s="56"/>
      <c r="C93" s="71"/>
      <c r="D93" s="74"/>
      <c r="F93" s="61"/>
      <c r="J93" s="58"/>
    </row>
    <row r="94" spans="1:10" s="47" customFormat="1">
      <c r="A94" s="56"/>
      <c r="C94" s="71"/>
      <c r="D94" s="74"/>
      <c r="F94" s="61"/>
      <c r="J94" s="58"/>
    </row>
    <row r="95" spans="1:10" s="47" customFormat="1">
      <c r="A95" s="56"/>
      <c r="C95" s="71"/>
      <c r="D95" s="74"/>
      <c r="F95" s="61"/>
      <c r="J95" s="58"/>
    </row>
    <row r="96" spans="1:10" s="47" customFormat="1">
      <c r="A96" s="56"/>
      <c r="C96" s="71"/>
      <c r="D96" s="74"/>
      <c r="F96" s="61"/>
      <c r="J96" s="58"/>
    </row>
    <row r="97" spans="1:10" s="47" customFormat="1">
      <c r="A97" s="56"/>
      <c r="C97" s="71"/>
      <c r="D97" s="74"/>
      <c r="F97" s="61"/>
      <c r="J97" s="58"/>
    </row>
    <row r="98" spans="1:10" s="47" customFormat="1">
      <c r="A98" s="56"/>
      <c r="C98" s="71"/>
      <c r="D98" s="74"/>
      <c r="F98" s="61"/>
      <c r="J98" s="58"/>
    </row>
    <row r="99" spans="1:10" s="47" customFormat="1">
      <c r="A99" s="56"/>
      <c r="C99" s="71"/>
      <c r="D99" s="74"/>
      <c r="F99" s="61"/>
      <c r="J99" s="58"/>
    </row>
    <row r="100" spans="1:10" s="47" customFormat="1">
      <c r="A100" s="56"/>
      <c r="C100" s="71"/>
      <c r="D100" s="74"/>
      <c r="F100" s="61"/>
      <c r="J100" s="58"/>
    </row>
    <row r="101" spans="1:10" s="47" customFormat="1">
      <c r="A101" s="56"/>
      <c r="C101" s="71"/>
      <c r="D101" s="74"/>
      <c r="F101" s="61"/>
      <c r="J101" s="58"/>
    </row>
    <row r="102" spans="1:10" s="47" customFormat="1">
      <c r="A102" s="56"/>
      <c r="C102" s="71"/>
      <c r="D102" s="74"/>
      <c r="F102" s="61"/>
      <c r="J102" s="58"/>
    </row>
    <row r="103" spans="1:10" s="47" customFormat="1">
      <c r="A103" s="56"/>
      <c r="C103" s="71"/>
      <c r="D103" s="74"/>
      <c r="F103" s="61"/>
      <c r="J103" s="58"/>
    </row>
    <row r="104" spans="1:10" s="47" customFormat="1">
      <c r="A104" s="56"/>
      <c r="C104" s="71"/>
      <c r="D104" s="74"/>
      <c r="F104" s="61"/>
      <c r="J104" s="58"/>
    </row>
    <row r="105" spans="1:10" s="47" customFormat="1">
      <c r="A105" s="56"/>
      <c r="C105" s="71"/>
      <c r="D105" s="74"/>
      <c r="F105" s="61"/>
      <c r="J105" s="58"/>
    </row>
    <row r="106" spans="1:10" s="47" customFormat="1">
      <c r="A106" s="56"/>
      <c r="C106" s="71"/>
      <c r="D106" s="74"/>
      <c r="F106" s="61"/>
      <c r="J106" s="58"/>
    </row>
    <row r="107" spans="1:10" s="47" customFormat="1">
      <c r="A107" s="56"/>
      <c r="C107" s="71"/>
      <c r="D107" s="74"/>
      <c r="F107" s="61"/>
      <c r="J107" s="58"/>
    </row>
    <row r="108" spans="1:10" s="47" customFormat="1">
      <c r="A108" s="56"/>
      <c r="C108" s="71"/>
      <c r="D108" s="74"/>
      <c r="F108" s="61"/>
      <c r="J108" s="58"/>
    </row>
    <row r="109" spans="1:10" s="47" customFormat="1">
      <c r="A109" s="56"/>
      <c r="C109" s="71"/>
      <c r="D109" s="74"/>
      <c r="F109" s="61"/>
      <c r="J109" s="58"/>
    </row>
    <row r="110" spans="1:10" s="47" customFormat="1">
      <c r="A110" s="56"/>
      <c r="C110" s="71"/>
      <c r="D110" s="74"/>
      <c r="F110" s="61"/>
      <c r="J110" s="58"/>
    </row>
    <row r="111" spans="1:10" s="47" customFormat="1">
      <c r="A111" s="56"/>
      <c r="C111" s="71"/>
      <c r="D111" s="74"/>
      <c r="F111" s="61"/>
      <c r="J111" s="58"/>
    </row>
    <row r="112" spans="1:10" s="47" customFormat="1">
      <c r="A112" s="56"/>
      <c r="C112" s="71"/>
      <c r="D112" s="74"/>
      <c r="F112" s="61"/>
      <c r="J112" s="58"/>
    </row>
    <row r="113" spans="1:10" s="47" customFormat="1">
      <c r="A113" s="56"/>
      <c r="C113" s="71"/>
      <c r="D113" s="74"/>
      <c r="F113" s="61"/>
      <c r="J113" s="58"/>
    </row>
    <row r="114" spans="1:10" s="47" customFormat="1">
      <c r="A114" s="56"/>
      <c r="C114" s="71"/>
      <c r="D114" s="74"/>
      <c r="F114" s="61"/>
      <c r="J114" s="58"/>
    </row>
    <row r="115" spans="1:10" s="47" customFormat="1">
      <c r="A115" s="56"/>
      <c r="C115" s="71"/>
      <c r="D115" s="74"/>
      <c r="F115" s="61"/>
      <c r="J115" s="58"/>
    </row>
    <row r="116" spans="1:10" s="47" customFormat="1">
      <c r="A116" s="56"/>
      <c r="C116" s="71"/>
      <c r="D116" s="74"/>
      <c r="F116" s="61"/>
      <c r="J116" s="58"/>
    </row>
    <row r="117" spans="1:10" s="47" customFormat="1">
      <c r="A117" s="56"/>
      <c r="C117" s="71"/>
      <c r="D117" s="74"/>
      <c r="F117" s="61"/>
      <c r="J117" s="58"/>
    </row>
    <row r="118" spans="1:10" s="47" customFormat="1">
      <c r="A118" s="56"/>
      <c r="C118" s="71"/>
      <c r="D118" s="74"/>
      <c r="F118" s="61"/>
      <c r="J118" s="58"/>
    </row>
    <row r="119" spans="1:10" s="47" customFormat="1">
      <c r="A119" s="56"/>
      <c r="C119" s="71"/>
      <c r="D119" s="74"/>
      <c r="F119" s="61"/>
      <c r="J119" s="58"/>
    </row>
    <row r="120" spans="1:10" s="47" customFormat="1">
      <c r="A120" s="56"/>
      <c r="C120" s="71"/>
      <c r="D120" s="74"/>
      <c r="F120" s="61"/>
      <c r="J120" s="58"/>
    </row>
    <row r="121" spans="1:10" s="47" customFormat="1">
      <c r="A121" s="56"/>
      <c r="C121" s="71"/>
      <c r="D121" s="74"/>
      <c r="F121" s="61"/>
      <c r="J121" s="58"/>
    </row>
    <row r="122" spans="1:10" s="47" customFormat="1">
      <c r="A122" s="56"/>
      <c r="C122" s="71"/>
      <c r="D122" s="74"/>
      <c r="F122" s="61"/>
      <c r="J122" s="58"/>
    </row>
    <row r="123" spans="1:10" s="47" customFormat="1">
      <c r="A123" s="56"/>
      <c r="C123" s="71"/>
      <c r="D123" s="74"/>
      <c r="F123" s="61"/>
      <c r="J123" s="58"/>
    </row>
    <row r="124" spans="1:10" s="47" customFormat="1">
      <c r="A124" s="56"/>
      <c r="C124" s="71"/>
      <c r="D124" s="74"/>
      <c r="F124" s="61"/>
      <c r="J124" s="58"/>
    </row>
    <row r="125" spans="1:10" s="47" customFormat="1">
      <c r="A125" s="56"/>
      <c r="C125" s="71"/>
      <c r="D125" s="74"/>
      <c r="F125" s="61"/>
      <c r="J125" s="58"/>
    </row>
    <row r="126" spans="1:10" s="47" customFormat="1">
      <c r="A126" s="56"/>
      <c r="C126" s="71"/>
      <c r="D126" s="74"/>
      <c r="F126" s="61"/>
      <c r="J126" s="58"/>
    </row>
    <row r="127" spans="1:10" s="47" customFormat="1">
      <c r="A127" s="56"/>
      <c r="C127" s="71"/>
      <c r="D127" s="74"/>
      <c r="F127" s="61"/>
      <c r="J127" s="58"/>
    </row>
    <row r="128" spans="1:10" s="47" customFormat="1">
      <c r="A128" s="56"/>
      <c r="C128" s="71"/>
      <c r="D128" s="74"/>
      <c r="F128" s="61"/>
      <c r="J128" s="58"/>
    </row>
    <row r="129" spans="1:10" s="47" customFormat="1">
      <c r="A129" s="56"/>
      <c r="C129" s="71"/>
      <c r="D129" s="74"/>
      <c r="F129" s="61"/>
      <c r="J129" s="58"/>
    </row>
    <row r="130" spans="1:10" s="47" customFormat="1">
      <c r="A130" s="56"/>
      <c r="C130" s="71"/>
      <c r="D130" s="74"/>
      <c r="F130" s="61"/>
      <c r="J130" s="58"/>
    </row>
    <row r="131" spans="1:10" s="47" customFormat="1">
      <c r="A131" s="56"/>
      <c r="C131" s="71"/>
      <c r="D131" s="74"/>
      <c r="F131" s="61"/>
      <c r="J131" s="58"/>
    </row>
    <row r="132" spans="1:10" s="47" customFormat="1">
      <c r="A132" s="56"/>
      <c r="C132" s="71"/>
      <c r="D132" s="74"/>
      <c r="F132" s="61"/>
      <c r="J132" s="58"/>
    </row>
    <row r="133" spans="1:10" s="47" customFormat="1">
      <c r="A133" s="56"/>
      <c r="C133" s="71"/>
      <c r="D133" s="74"/>
      <c r="F133" s="61"/>
      <c r="J133" s="58"/>
    </row>
    <row r="134" spans="1:10" s="47" customFormat="1">
      <c r="A134" s="56"/>
      <c r="C134" s="71"/>
      <c r="D134" s="74"/>
      <c r="F134" s="61"/>
      <c r="J134" s="58"/>
    </row>
    <row r="135" spans="1:10" s="47" customFormat="1">
      <c r="A135" s="56"/>
      <c r="C135" s="71"/>
      <c r="D135" s="74"/>
      <c r="F135" s="61"/>
      <c r="J135" s="58"/>
    </row>
    <row r="136" spans="1:10" s="47" customFormat="1">
      <c r="A136" s="56"/>
      <c r="C136" s="71"/>
      <c r="D136" s="74"/>
      <c r="F136" s="61"/>
      <c r="J136" s="58"/>
    </row>
    <row r="137" spans="1:10" s="47" customFormat="1">
      <c r="A137" s="56"/>
      <c r="C137" s="71"/>
      <c r="D137" s="74"/>
      <c r="F137" s="61"/>
      <c r="J137" s="58"/>
    </row>
    <row r="138" spans="1:10" s="47" customFormat="1">
      <c r="A138" s="56"/>
      <c r="C138" s="71"/>
      <c r="D138" s="74"/>
      <c r="F138" s="61"/>
      <c r="J138" s="58"/>
    </row>
    <row r="139" spans="1:10" s="47" customFormat="1">
      <c r="A139" s="56"/>
      <c r="C139" s="71"/>
      <c r="D139" s="74"/>
      <c r="F139" s="61"/>
      <c r="J139" s="58"/>
    </row>
    <row r="140" spans="1:10" s="47" customFormat="1">
      <c r="A140" s="56"/>
      <c r="C140" s="71"/>
      <c r="D140" s="74"/>
      <c r="F140" s="61"/>
      <c r="J140" s="58"/>
    </row>
    <row r="141" spans="1:10" s="47" customFormat="1">
      <c r="A141" s="56"/>
      <c r="C141" s="71"/>
      <c r="D141" s="74"/>
      <c r="F141" s="61"/>
      <c r="J141" s="58"/>
    </row>
    <row r="142" spans="1:10" s="47" customFormat="1">
      <c r="A142" s="56"/>
      <c r="C142" s="71"/>
      <c r="D142" s="74"/>
      <c r="F142" s="61"/>
      <c r="J142" s="58"/>
    </row>
    <row r="143" spans="1:10" s="47" customFormat="1">
      <c r="A143" s="56"/>
      <c r="C143" s="71"/>
      <c r="D143" s="74"/>
      <c r="F143" s="61"/>
      <c r="J143" s="58"/>
    </row>
    <row r="144" spans="1:10" s="47" customFormat="1">
      <c r="A144" s="56"/>
      <c r="C144" s="71"/>
      <c r="D144" s="74"/>
      <c r="F144" s="61"/>
      <c r="J144" s="58"/>
    </row>
    <row r="145" spans="1:11" s="47" customFormat="1">
      <c r="A145" s="56"/>
      <c r="C145" s="71"/>
      <c r="D145" s="74"/>
      <c r="F145" s="61"/>
      <c r="J145" s="58"/>
    </row>
    <row r="146" spans="1:11" s="47" customFormat="1">
      <c r="A146" s="56"/>
      <c r="C146" s="71"/>
      <c r="D146" s="74"/>
      <c r="F146" s="61"/>
      <c r="J146" s="58"/>
    </row>
    <row r="147" spans="1:11" s="47" customFormat="1">
      <c r="A147" s="56"/>
      <c r="C147" s="71"/>
      <c r="D147" s="74"/>
      <c r="F147" s="61"/>
      <c r="J147" s="58"/>
    </row>
    <row r="148" spans="1:11" s="47" customFormat="1">
      <c r="A148" s="56"/>
      <c r="C148" s="71"/>
      <c r="D148" s="74"/>
      <c r="F148" s="61"/>
      <c r="J148" s="58"/>
    </row>
    <row r="149" spans="1:11" s="47" customFormat="1">
      <c r="A149" s="56"/>
      <c r="C149" s="71"/>
      <c r="D149" s="74"/>
      <c r="F149" s="61"/>
      <c r="J149" s="58"/>
    </row>
    <row r="150" spans="1:11" s="47" customFormat="1">
      <c r="A150" s="56"/>
      <c r="C150" s="71"/>
      <c r="D150" s="74"/>
      <c r="F150" s="61"/>
      <c r="J150" s="58"/>
    </row>
    <row r="151" spans="1:11" s="47" customFormat="1">
      <c r="A151" s="56"/>
      <c r="C151" s="71"/>
      <c r="D151" s="74"/>
      <c r="F151" s="61"/>
      <c r="J151" s="58"/>
    </row>
    <row r="152" spans="1:11" s="47" customFormat="1">
      <c r="A152" s="56"/>
      <c r="C152" s="71"/>
      <c r="D152" s="74"/>
      <c r="F152" s="61"/>
      <c r="J152" s="58"/>
    </row>
    <row r="153" spans="1:11" s="47" customFormat="1">
      <c r="A153" s="56"/>
      <c r="C153" s="71"/>
      <c r="D153" s="74"/>
      <c r="F153" s="61"/>
      <c r="J153" s="58"/>
    </row>
    <row r="154" spans="1:11" s="47" customFormat="1">
      <c r="A154" s="56"/>
      <c r="C154" s="71"/>
      <c r="D154" s="74"/>
      <c r="F154" s="61"/>
      <c r="I154" s="46"/>
      <c r="J154" s="76"/>
    </row>
    <row r="155" spans="1:11" s="47" customFormat="1">
      <c r="A155" s="56"/>
      <c r="C155" s="71"/>
      <c r="D155" s="74"/>
      <c r="F155" s="61"/>
      <c r="I155" s="46"/>
      <c r="J155" s="76"/>
    </row>
    <row r="156" spans="1:11" s="47" customFormat="1">
      <c r="A156" s="56"/>
      <c r="C156" s="71"/>
      <c r="D156" s="74"/>
      <c r="F156" s="61"/>
      <c r="I156" s="46"/>
      <c r="J156" s="76"/>
      <c r="K156" s="46"/>
    </row>
    <row r="157" spans="1:11" s="47" customFormat="1">
      <c r="A157" s="56"/>
      <c r="C157" s="71"/>
      <c r="D157" s="74"/>
      <c r="F157" s="61"/>
      <c r="I157" s="46"/>
      <c r="J157" s="76"/>
      <c r="K157" s="46"/>
    </row>
    <row r="158" spans="1:11" s="47" customFormat="1">
      <c r="A158" s="56"/>
      <c r="C158" s="71"/>
      <c r="D158" s="74"/>
      <c r="F158" s="61"/>
      <c r="I158" s="46"/>
      <c r="J158" s="76"/>
      <c r="K158" s="46"/>
    </row>
    <row r="159" spans="1:11" s="47" customFormat="1">
      <c r="A159" s="56"/>
      <c r="C159" s="71"/>
      <c r="D159" s="74"/>
      <c r="F159" s="61"/>
      <c r="I159" s="46"/>
      <c r="J159" s="76"/>
      <c r="K159" s="46"/>
    </row>
    <row r="160" spans="1:11" s="47" customFormat="1">
      <c r="A160" s="56"/>
      <c r="C160" s="71"/>
      <c r="D160" s="74"/>
      <c r="F160" s="61"/>
      <c r="G160" s="46"/>
      <c r="H160" s="46"/>
      <c r="I160" s="46"/>
      <c r="J160" s="76"/>
      <c r="K160" s="46"/>
    </row>
    <row r="161" spans="1:11" s="47" customFormat="1">
      <c r="A161" s="56"/>
      <c r="C161" s="71"/>
      <c r="D161" s="74"/>
      <c r="F161" s="61"/>
      <c r="G161" s="46"/>
      <c r="H161" s="46"/>
      <c r="I161" s="46"/>
      <c r="J161" s="76"/>
      <c r="K161" s="46"/>
    </row>
    <row r="162" spans="1:11" s="47" customFormat="1">
      <c r="A162" s="56"/>
      <c r="C162" s="78"/>
      <c r="D162" s="74"/>
      <c r="F162" s="61"/>
      <c r="G162" s="46"/>
      <c r="H162" s="46"/>
      <c r="I162" s="46"/>
      <c r="J162" s="76"/>
      <c r="K162" s="46"/>
    </row>
    <row r="163" spans="1:11" s="47" customFormat="1">
      <c r="A163" s="56"/>
      <c r="C163" s="78"/>
      <c r="D163" s="74"/>
      <c r="F163" s="61"/>
      <c r="G163" s="46"/>
      <c r="H163" s="46"/>
      <c r="I163" s="46"/>
      <c r="J163" s="76"/>
      <c r="K163" s="46"/>
    </row>
    <row r="164" spans="1:11" s="47" customFormat="1">
      <c r="A164" s="56"/>
      <c r="C164" s="78"/>
      <c r="D164" s="74"/>
      <c r="F164" s="75"/>
      <c r="G164" s="46"/>
      <c r="H164" s="46"/>
      <c r="I164" s="46"/>
      <c r="J164" s="76"/>
      <c r="K164" s="46"/>
    </row>
    <row r="165" spans="1:11" s="47" customFormat="1">
      <c r="A165" s="56"/>
      <c r="C165" s="78"/>
      <c r="D165" s="74"/>
      <c r="F165" s="75"/>
      <c r="G165" s="46"/>
      <c r="H165" s="46"/>
      <c r="I165" s="46"/>
      <c r="J165" s="76"/>
      <c r="K165" s="46"/>
    </row>
    <row r="166" spans="1:11" s="47" customFormat="1">
      <c r="A166" s="56"/>
      <c r="C166" s="78"/>
      <c r="D166" s="74"/>
      <c r="F166" s="75"/>
      <c r="G166" s="46"/>
      <c r="H166" s="46"/>
      <c r="I166" s="46"/>
      <c r="J166" s="76"/>
      <c r="K166" s="46"/>
    </row>
    <row r="167" spans="1:11">
      <c r="A167" s="56"/>
      <c r="B167" s="47"/>
      <c r="E167" s="47"/>
    </row>
    <row r="168" spans="1:11">
      <c r="A168" s="56"/>
      <c r="B168" s="47"/>
      <c r="E168" s="47"/>
    </row>
    <row r="169" spans="1:11">
      <c r="E169" s="47"/>
    </row>
  </sheetData>
  <customSheetViews>
    <customSheetView guid="{9C153D9E-615C-443B-9CD7-551163282F03}" scale="90" showPageBreaks="1" showGridLines="0" printArea="1" view="pageBreakPreview" topLeftCell="A10">
      <selection activeCell="X19" sqref="X19"/>
      <pageMargins left="0" right="0" top="0" bottom="0" header="0" footer="0"/>
      <pageSetup scale="95" firstPageNumber="2" orientation="landscape" r:id="rId1"/>
      <headerFooter>
        <oddFooter>&amp;C&amp;P</oddFooter>
      </headerFooter>
    </customSheetView>
    <customSheetView guid="{BE9F68F7-D81B-4526-9959-D871EC50BDFF}" scale="90" showPageBreaks="1" showGridLines="0" printArea="1" view="pageBreakPreview" topLeftCell="A10">
      <selection activeCell="B20" sqref="B20"/>
      <pageMargins left="0" right="0" top="0" bottom="0" header="0" footer="0"/>
      <pageSetup scale="95" firstPageNumber="2" orientation="landscape" r:id="rId2"/>
      <headerFooter>
        <oddFooter>&amp;C&amp;P</oddFooter>
      </headerFooter>
    </customSheetView>
    <customSheetView guid="{EF790C5B-80DA-4544-9EB7-EFE0323B2298}" scale="90" showPageBreaks="1" showGridLines="0" printArea="1" view="pageBreakPreview">
      <selection activeCell="G13" sqref="G13"/>
      <pageMargins left="0" right="0" top="0" bottom="0" header="0" footer="0"/>
      <pageSetup scale="95" firstPageNumber="2" orientation="landscape" r:id="rId3"/>
      <headerFooter>
        <oddFooter>&amp;C&amp;P</oddFooter>
      </headerFooter>
    </customSheetView>
    <customSheetView guid="{C9D2DBB1-CD01-4732-8C86-64BE16C94753}" scale="90" showPageBreaks="1" showGridLines="0" printArea="1" view="pageBreakPreview" topLeftCell="A7">
      <selection activeCell="B14" sqref="B14"/>
      <pageMargins left="0" right="0" top="0" bottom="0" header="0" footer="0"/>
      <pageSetup scale="95" firstPageNumber="2" orientation="landscape" r:id="rId4"/>
      <headerFooter>
        <oddFooter>&amp;C&amp;P</oddFooter>
      </headerFooter>
    </customSheetView>
    <customSheetView guid="{BFEC163F-7C4E-49B7-9F32-15225772E72F}" scale="90" showPageBreaks="1" showGridLines="0" printArea="1" view="pageBreakPreview" topLeftCell="A7">
      <selection activeCell="G13" sqref="G13"/>
      <pageMargins left="0" right="0" top="0" bottom="0" header="0" footer="0"/>
      <pageSetup scale="95" firstPageNumber="2" orientation="landscape" r:id="rId5"/>
      <headerFooter>
        <oddFooter>&amp;C&amp;P</oddFooter>
      </headerFooter>
    </customSheetView>
    <customSheetView guid="{5529DB6B-163A-4048-9107-267B30B97DF3}" scale="90" showPageBreaks="1" showGridLines="0" printArea="1" view="pageBreakPreview">
      <selection activeCell="G13" sqref="G13"/>
      <pageMargins left="0" right="0" top="0" bottom="0" header="0" footer="0"/>
      <pageSetup scale="95" firstPageNumber="2" orientation="landscape" r:id="rId6"/>
      <headerFooter>
        <oddFooter>&amp;C&amp;P</oddFooter>
      </headerFooter>
    </customSheetView>
    <customSheetView guid="{9B0763AA-FA4B-479A-900C-C113E8BEEFEB}" scale="90" showPageBreaks="1" showGridLines="0" printArea="1" view="pageBreakPreview">
      <selection activeCell="G13" sqref="G13"/>
      <pageMargins left="0" right="0" top="0" bottom="0" header="0" footer="0"/>
      <pageSetup scale="95" firstPageNumber="2" orientation="landscape" r:id="rId7"/>
      <headerFooter>
        <oddFooter>&amp;C&amp;P</oddFooter>
      </headerFooter>
    </customSheetView>
    <customSheetView guid="{89903799-8228-4A6D-8A81-7F80BC61226D}" scale="90" showPageBreaks="1" showGridLines="0" printArea="1" view="pageBreakPreview">
      <selection activeCell="G13" sqref="G13"/>
      <pageMargins left="0" right="0" top="0" bottom="0" header="0" footer="0"/>
      <pageSetup scale="95" firstPageNumber="2" orientation="landscape" r:id="rId8"/>
      <headerFooter>
        <oddFooter>&amp;C&amp;P</oddFooter>
      </headerFooter>
    </customSheetView>
    <customSheetView guid="{2524630E-605A-4616-AD5D-6CF7B1E9752C}" scale="90" showPageBreaks="1" showGridLines="0" printArea="1" view="pageBreakPreview">
      <selection activeCell="G13" sqref="G13"/>
      <pageMargins left="0" right="0" top="0" bottom="0" header="0" footer="0"/>
      <pageSetup scale="95" firstPageNumber="2" orientation="landscape" r:id="rId9"/>
      <headerFooter>
        <oddFooter>&amp;C&amp;P</oddFooter>
      </headerFooter>
    </customSheetView>
  </customSheetViews>
  <mergeCells count="1">
    <mergeCell ref="A1:J1"/>
  </mergeCells>
  <pageMargins left="0.314" right="0.314" top="0.11799999999999999" bottom="0.27500000000000002" header="0.157" footer="0.11799999999999999"/>
  <pageSetup scale="95" firstPageNumber="2" orientation="landscape" r:id="rId10"/>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44"/>
  <sheetViews>
    <sheetView showRuler="0" showWhiteSpace="0" view="pageBreakPreview" zoomScale="110" zoomScaleNormal="100" zoomScaleSheetLayoutView="110" workbookViewId="0">
      <selection activeCell="J16" sqref="A1:XFD1048576"/>
    </sheetView>
  </sheetViews>
  <sheetFormatPr defaultColWidth="9.140625" defaultRowHeight="13.5"/>
  <cols>
    <col min="1" max="1" width="3.5703125" style="880" customWidth="1"/>
    <col min="2" max="10" width="9.140625" style="880" customWidth="1"/>
    <col min="11" max="11" width="7.42578125" style="880" customWidth="1"/>
    <col min="12" max="12" width="8.42578125" style="880" customWidth="1"/>
    <col min="13" max="14" width="2.85546875" style="880" customWidth="1"/>
    <col min="15" max="20" width="2.85546875" customWidth="1"/>
  </cols>
  <sheetData>
    <row r="1" spans="1:20" s="1946" customFormat="1" ht="12.75">
      <c r="A1" s="2062" t="s">
        <v>82</v>
      </c>
      <c r="B1" s="1779"/>
      <c r="C1" s="1779"/>
      <c r="D1" s="1779"/>
      <c r="E1" s="1779"/>
      <c r="F1" s="1779"/>
      <c r="G1" s="1779"/>
      <c r="H1" s="1779"/>
      <c r="I1" s="1779"/>
      <c r="J1" s="1779"/>
      <c r="K1" s="1779"/>
      <c r="L1" s="1779"/>
      <c r="M1" s="1779"/>
      <c r="N1" s="1779"/>
    </row>
    <row r="2" spans="1:20" ht="14.25" thickBot="1">
      <c r="A2" s="812" t="s">
        <v>83</v>
      </c>
      <c r="B2" s="812" t="s">
        <v>84</v>
      </c>
      <c r="C2" s="811"/>
      <c r="D2" s="811"/>
      <c r="E2" s="811"/>
      <c r="F2" s="811"/>
      <c r="G2" s="811"/>
      <c r="H2" s="811"/>
      <c r="I2" s="811"/>
      <c r="J2" s="811"/>
      <c r="K2" s="811"/>
      <c r="L2" s="811"/>
    </row>
    <row r="3" spans="1:20" ht="14.25" thickBot="1">
      <c r="A3" s="2063" t="s">
        <v>85</v>
      </c>
      <c r="B3" s="694" t="s">
        <v>86</v>
      </c>
      <c r="C3" s="696"/>
      <c r="D3" s="696"/>
      <c r="E3" s="2064" t="s">
        <v>87</v>
      </c>
      <c r="F3" s="2150"/>
      <c r="G3" s="2149"/>
      <c r="H3" s="2149"/>
      <c r="I3" s="2149"/>
      <c r="J3" s="2149"/>
      <c r="K3" s="2149"/>
      <c r="L3" s="696" t="s">
        <v>88</v>
      </c>
      <c r="M3" s="2066"/>
      <c r="N3" s="2067"/>
      <c r="O3" s="2068"/>
      <c r="P3" s="2067"/>
      <c r="Q3" s="696"/>
      <c r="R3" s="696"/>
      <c r="S3" s="2069"/>
      <c r="T3" s="2070"/>
    </row>
    <row r="4" spans="1:20" ht="14.25" thickBot="1">
      <c r="A4" s="2063" t="s">
        <v>89</v>
      </c>
      <c r="B4" s="694" t="s">
        <v>90</v>
      </c>
      <c r="C4" s="696"/>
      <c r="D4" s="696"/>
      <c r="E4" s="2064" t="s">
        <v>87</v>
      </c>
      <c r="F4" s="2150"/>
      <c r="G4" s="2149"/>
      <c r="H4" s="2149"/>
      <c r="I4" s="2149"/>
      <c r="J4" s="2149"/>
      <c r="K4" s="2149"/>
      <c r="L4" s="696" t="s">
        <v>88</v>
      </c>
      <c r="M4" s="697"/>
      <c r="N4" s="698"/>
      <c r="O4" s="2071"/>
      <c r="P4" s="698"/>
      <c r="Q4" s="2069"/>
      <c r="R4" s="2069"/>
      <c r="S4" s="2069"/>
      <c r="T4" s="2070"/>
    </row>
    <row r="5" spans="1:20" ht="14.25" thickBot="1">
      <c r="A5" s="2063" t="s">
        <v>91</v>
      </c>
      <c r="B5" s="2153"/>
      <c r="C5" s="2154"/>
      <c r="D5" s="2154"/>
      <c r="E5" s="2154"/>
      <c r="F5" s="2154"/>
      <c r="G5" s="2154"/>
      <c r="H5" s="2154"/>
      <c r="I5" s="2154"/>
      <c r="J5" s="2154"/>
      <c r="K5" s="2154"/>
      <c r="L5" s="2154"/>
      <c r="M5" s="2154"/>
      <c r="N5" s="2154"/>
      <c r="O5" s="2154"/>
      <c r="P5" s="2154"/>
      <c r="Q5" s="2154"/>
      <c r="R5" s="2154"/>
      <c r="S5" s="2154"/>
      <c r="T5" s="2155"/>
    </row>
    <row r="6" spans="1:20" ht="14.25" thickBot="1">
      <c r="A6" s="2072" t="s">
        <v>92</v>
      </c>
      <c r="B6" s="2066" t="s">
        <v>93</v>
      </c>
      <c r="C6" s="2068"/>
      <c r="D6" s="2068"/>
      <c r="E6" s="2067"/>
      <c r="F6" s="2146" t="s">
        <v>94</v>
      </c>
      <c r="G6" s="2146"/>
      <c r="H6" s="2146"/>
      <c r="I6" s="2146"/>
      <c r="J6" s="2146"/>
      <c r="K6" s="2146"/>
      <c r="L6" s="2068" t="s">
        <v>88</v>
      </c>
      <c r="M6" s="697"/>
      <c r="N6" s="2071"/>
      <c r="O6" s="697"/>
      <c r="P6" s="2071"/>
      <c r="Q6" s="2071"/>
      <c r="R6" s="2071"/>
      <c r="S6" s="2071"/>
      <c r="T6" s="2074"/>
    </row>
    <row r="7" spans="1:20" ht="14.25" thickBot="1">
      <c r="A7" s="2075" t="s">
        <v>95</v>
      </c>
      <c r="B7" s="2076" t="s">
        <v>96</v>
      </c>
      <c r="C7" s="811"/>
      <c r="D7" s="811"/>
      <c r="E7" s="2077" t="s">
        <v>87</v>
      </c>
      <c r="F7" s="2151"/>
      <c r="G7" s="2152"/>
      <c r="H7" s="2152"/>
      <c r="I7" s="2152"/>
      <c r="J7" s="2152"/>
      <c r="K7" s="2152"/>
      <c r="L7" s="811"/>
      <c r="T7" s="2078"/>
    </row>
    <row r="8" spans="1:20" ht="14.25" thickBot="1">
      <c r="A8" s="2063" t="s">
        <v>97</v>
      </c>
      <c r="B8" s="694" t="s">
        <v>98</v>
      </c>
      <c r="C8" s="696"/>
      <c r="D8" s="696"/>
      <c r="E8" s="2079"/>
      <c r="F8" s="2150"/>
      <c r="G8" s="2149"/>
      <c r="H8" s="2149"/>
      <c r="I8" s="2149"/>
      <c r="J8" s="2149"/>
      <c r="K8" s="2149"/>
      <c r="L8" s="696" t="s">
        <v>88</v>
      </c>
      <c r="M8" s="694"/>
      <c r="N8" s="695"/>
      <c r="O8" s="2156"/>
      <c r="P8" s="2157"/>
      <c r="Q8" s="2156"/>
      <c r="R8" s="2157"/>
      <c r="S8" s="2158"/>
      <c r="T8" s="2159"/>
    </row>
    <row r="9" spans="1:20" ht="14.25" thickBot="1">
      <c r="A9" s="2063" t="s">
        <v>99</v>
      </c>
      <c r="B9" s="694" t="s">
        <v>100</v>
      </c>
      <c r="C9" s="696"/>
      <c r="D9" s="696"/>
      <c r="E9" s="695"/>
      <c r="F9" s="2149"/>
      <c r="G9" s="2149"/>
      <c r="H9" s="2149"/>
      <c r="I9" s="2149"/>
      <c r="J9" s="2149"/>
      <c r="K9" s="2149"/>
      <c r="L9" s="696" t="s">
        <v>88</v>
      </c>
      <c r="M9" s="694"/>
      <c r="N9" s="695"/>
      <c r="O9" s="2156"/>
      <c r="P9" s="2157"/>
      <c r="Q9" s="2080"/>
      <c r="R9" s="2081"/>
      <c r="S9" s="2082"/>
      <c r="T9" s="2083"/>
    </row>
    <row r="10" spans="1:20" ht="14.25" thickBot="1">
      <c r="A10" s="2063" t="s">
        <v>101</v>
      </c>
      <c r="B10" s="694" t="s">
        <v>102</v>
      </c>
      <c r="C10" s="696"/>
      <c r="D10" s="2066" t="s">
        <v>103</v>
      </c>
      <c r="E10" s="696"/>
      <c r="F10" s="2065"/>
      <c r="G10" s="2065"/>
      <c r="H10" s="2065"/>
      <c r="I10" s="2065"/>
      <c r="J10" s="2065"/>
      <c r="K10" s="2065"/>
      <c r="L10" s="696" t="s">
        <v>88</v>
      </c>
      <c r="M10" s="694"/>
      <c r="N10" s="695"/>
      <c r="O10" s="2061"/>
      <c r="P10" s="2061"/>
      <c r="Q10" s="2081"/>
      <c r="R10" s="2081"/>
      <c r="S10" s="2081"/>
      <c r="T10" s="2084"/>
    </row>
    <row r="11" spans="1:20" ht="14.25" thickBot="1">
      <c r="A11" s="2063" t="s">
        <v>104</v>
      </c>
      <c r="B11" s="2066" t="s">
        <v>105</v>
      </c>
      <c r="C11" s="696"/>
      <c r="D11" s="694"/>
      <c r="E11" s="696"/>
      <c r="F11" s="2065" t="s">
        <v>106</v>
      </c>
      <c r="G11" s="2065" t="str">
        <f>CONCATENATE("2 Não ►",A13)</f>
        <v>2 Não ►07D.-</v>
      </c>
      <c r="H11" s="2065"/>
      <c r="I11" s="2065"/>
      <c r="J11" s="2065"/>
      <c r="K11" s="2065"/>
      <c r="L11" s="696"/>
      <c r="M11" s="694"/>
      <c r="N11" s="695"/>
      <c r="O11" s="2061"/>
      <c r="P11" s="2061"/>
      <c r="Q11" s="2081"/>
      <c r="R11" s="2081"/>
      <c r="S11" s="2081"/>
      <c r="T11" s="2084"/>
    </row>
    <row r="12" spans="1:20" ht="14.25" thickBot="1">
      <c r="A12" s="2063" t="s">
        <v>107</v>
      </c>
      <c r="B12" s="2066" t="s">
        <v>108</v>
      </c>
      <c r="C12" s="696"/>
      <c r="D12" s="694"/>
      <c r="E12" s="696"/>
      <c r="F12" s="2065"/>
      <c r="G12" s="2065"/>
      <c r="H12" s="2065"/>
      <c r="I12" s="2065"/>
      <c r="J12" s="2065"/>
      <c r="K12" s="2065" t="s">
        <v>109</v>
      </c>
      <c r="L12" s="696" t="s">
        <v>110</v>
      </c>
      <c r="M12" s="694"/>
      <c r="N12" s="695"/>
      <c r="O12" s="2061"/>
      <c r="P12" s="2061"/>
      <c r="Q12" s="2081"/>
      <c r="R12" s="2081"/>
      <c r="S12" s="2081"/>
      <c r="T12" s="2084"/>
    </row>
    <row r="13" spans="1:20" ht="14.25" thickBot="1">
      <c r="A13" s="2063" t="s">
        <v>111</v>
      </c>
      <c r="B13" s="694" t="s">
        <v>112</v>
      </c>
      <c r="C13" s="696"/>
      <c r="D13" s="694"/>
      <c r="E13" s="696"/>
      <c r="F13" s="2065"/>
      <c r="G13" s="2065" t="s">
        <v>109</v>
      </c>
      <c r="H13" s="2065" t="s">
        <v>113</v>
      </c>
      <c r="I13" s="2065"/>
      <c r="J13" s="2065"/>
      <c r="K13" s="2065"/>
      <c r="L13" s="696"/>
      <c r="M13" s="694"/>
      <c r="N13" s="695"/>
      <c r="O13" s="2061"/>
      <c r="P13" s="2061"/>
      <c r="Q13" s="2081"/>
      <c r="R13" s="2081"/>
      <c r="S13" s="2081"/>
      <c r="T13" s="2084"/>
    </row>
    <row r="14" spans="1:20" ht="14.25" thickBot="1">
      <c r="A14" s="2063" t="s">
        <v>114</v>
      </c>
      <c r="B14" s="694" t="s">
        <v>115</v>
      </c>
      <c r="C14" s="696"/>
      <c r="D14" s="694"/>
      <c r="E14" s="696"/>
      <c r="F14" s="2065"/>
      <c r="G14" s="2065" t="s">
        <v>109</v>
      </c>
      <c r="H14" s="2065" t="s">
        <v>113</v>
      </c>
      <c r="I14" s="2065"/>
      <c r="J14" s="2065"/>
      <c r="K14" s="2065"/>
      <c r="L14" s="696"/>
      <c r="M14" s="694"/>
      <c r="N14" s="695"/>
      <c r="O14" s="2061"/>
      <c r="P14" s="2061"/>
      <c r="Q14" s="2081"/>
      <c r="R14" s="2081"/>
      <c r="S14" s="2081"/>
      <c r="T14" s="2084"/>
    </row>
    <row r="15" spans="1:20" ht="14.25" thickBot="1">
      <c r="A15" s="2063" t="s">
        <v>116</v>
      </c>
      <c r="B15" s="694" t="s">
        <v>117</v>
      </c>
      <c r="C15" s="696"/>
      <c r="D15" s="694"/>
      <c r="E15" s="696"/>
      <c r="F15" s="2065"/>
      <c r="G15" s="2065"/>
      <c r="H15" s="2065"/>
      <c r="I15" s="2065"/>
      <c r="J15" s="2065"/>
      <c r="K15" s="2065"/>
      <c r="L15" s="696" t="s">
        <v>88</v>
      </c>
      <c r="M15" s="694"/>
      <c r="N15" s="695"/>
      <c r="O15" s="2156"/>
      <c r="P15" s="2157"/>
      <c r="Q15" s="2156"/>
      <c r="R15" s="2157"/>
      <c r="S15" s="2158"/>
      <c r="T15" s="2159"/>
    </row>
    <row r="16" spans="1:20" ht="14.25" thickBot="1">
      <c r="A16" s="2063" t="s">
        <v>118</v>
      </c>
      <c r="B16" s="694" t="s">
        <v>119</v>
      </c>
      <c r="C16" s="696"/>
      <c r="D16" s="694"/>
      <c r="E16" s="696"/>
      <c r="F16" s="2065"/>
      <c r="G16" s="2065"/>
      <c r="H16" s="2065"/>
      <c r="I16" s="2065"/>
      <c r="J16" s="2065"/>
      <c r="K16" s="2065"/>
      <c r="L16" s="696" t="s">
        <v>88</v>
      </c>
      <c r="M16" s="694"/>
      <c r="N16" s="696"/>
      <c r="O16" s="2085"/>
      <c r="P16" s="2086"/>
      <c r="Q16" s="2069"/>
      <c r="R16" s="2069"/>
      <c r="S16" s="2069"/>
      <c r="T16" s="2070"/>
    </row>
    <row r="17" spans="1:20" ht="14.25" thickBot="1">
      <c r="A17" s="2087" t="s">
        <v>120</v>
      </c>
      <c r="B17" s="2088" t="s">
        <v>121</v>
      </c>
      <c r="C17" s="695"/>
      <c r="D17" s="694" t="s">
        <v>122</v>
      </c>
      <c r="E17" s="696"/>
      <c r="F17" s="2065"/>
      <c r="G17" s="2065"/>
      <c r="H17" s="2065"/>
      <c r="I17" s="2065"/>
      <c r="J17" s="2065"/>
      <c r="K17" s="2065"/>
      <c r="L17" s="696" t="s">
        <v>88</v>
      </c>
      <c r="M17" s="2088"/>
      <c r="N17" s="2089"/>
      <c r="O17" s="880"/>
      <c r="P17" s="880"/>
      <c r="Q17" s="2069"/>
      <c r="R17" s="2069"/>
      <c r="S17" s="2069"/>
      <c r="T17" s="2070"/>
    </row>
    <row r="18" spans="1:20" ht="14.25" thickBot="1">
      <c r="A18" s="2090" t="s">
        <v>123</v>
      </c>
      <c r="B18" s="697" t="s">
        <v>124</v>
      </c>
      <c r="C18" s="2068"/>
      <c r="D18" s="2066" t="s">
        <v>125</v>
      </c>
      <c r="E18" s="2067"/>
      <c r="F18" s="2066"/>
      <c r="G18" s="2068"/>
      <c r="H18" s="2068"/>
      <c r="I18" s="2068"/>
      <c r="J18" s="2068"/>
      <c r="K18" s="2068"/>
      <c r="L18" s="696" t="s">
        <v>88</v>
      </c>
      <c r="M18" s="697"/>
      <c r="N18" s="698"/>
      <c r="O18" s="2071"/>
      <c r="P18" s="2071"/>
      <c r="Q18" s="2071"/>
      <c r="R18" s="2071"/>
      <c r="S18" s="2071"/>
      <c r="T18" s="2074"/>
    </row>
    <row r="19" spans="1:20" s="1946" customFormat="1" thickBot="1">
      <c r="A19" s="2091" t="s">
        <v>126</v>
      </c>
      <c r="B19" s="2092" t="s">
        <v>127</v>
      </c>
      <c r="C19" s="2093"/>
      <c r="D19" s="2093"/>
      <c r="E19" s="2093"/>
      <c r="F19" s="2093"/>
      <c r="G19" s="2093"/>
      <c r="H19" s="2093"/>
      <c r="I19" s="2094"/>
      <c r="J19" s="2094"/>
      <c r="K19" s="2094"/>
      <c r="L19" s="2094"/>
      <c r="M19" s="2095"/>
      <c r="N19" s="2095"/>
      <c r="O19" s="2096"/>
      <c r="P19" s="2096"/>
      <c r="Q19" s="2096"/>
      <c r="R19" s="2096"/>
      <c r="S19" s="2096"/>
      <c r="T19" s="2096"/>
    </row>
    <row r="20" spans="1:20" ht="14.25" thickBot="1">
      <c r="A20" s="2097" t="s">
        <v>128</v>
      </c>
      <c r="B20" s="697" t="s">
        <v>129</v>
      </c>
      <c r="C20" s="2068"/>
      <c r="D20" s="2068"/>
      <c r="E20" s="2146"/>
      <c r="F20" s="2146"/>
      <c r="G20" s="2146"/>
      <c r="H20" s="2146"/>
      <c r="I20" s="2146"/>
      <c r="J20" s="2146"/>
      <c r="K20" s="2146"/>
      <c r="L20" s="2098"/>
      <c r="M20" s="2071"/>
      <c r="N20" s="2071"/>
      <c r="O20" s="2099"/>
      <c r="P20" s="2099"/>
      <c r="Q20" s="2099"/>
      <c r="R20" s="2099"/>
      <c r="S20" s="2099"/>
      <c r="T20" s="2083"/>
    </row>
    <row r="21" spans="1:20" ht="14.25" thickBot="1">
      <c r="A21" s="2097" t="s">
        <v>130</v>
      </c>
      <c r="B21" s="697" t="s">
        <v>131</v>
      </c>
      <c r="C21" s="2068"/>
      <c r="D21" s="2068"/>
      <c r="E21" s="2146"/>
      <c r="F21" s="2146"/>
      <c r="G21" s="2146"/>
      <c r="H21" s="2146"/>
      <c r="I21" s="2146"/>
      <c r="J21" s="2146"/>
      <c r="K21" s="2146"/>
      <c r="L21" s="2098"/>
      <c r="M21" s="2071"/>
      <c r="N21" s="2071"/>
      <c r="O21" s="2099"/>
      <c r="P21" s="2099"/>
      <c r="Q21" s="2099"/>
      <c r="R21" s="2099"/>
      <c r="S21" s="2099"/>
      <c r="T21" s="2083"/>
    </row>
    <row r="22" spans="1:20" ht="14.25" thickBot="1">
      <c r="A22" s="2097" t="s">
        <v>132</v>
      </c>
      <c r="B22" s="697" t="s">
        <v>133</v>
      </c>
      <c r="C22" s="2068"/>
      <c r="D22" s="2068"/>
      <c r="E22" s="2068"/>
      <c r="F22" s="2146"/>
      <c r="G22" s="2146"/>
      <c r="H22" s="2146"/>
      <c r="I22" s="2146"/>
      <c r="J22" s="2146"/>
      <c r="K22" s="2146"/>
      <c r="L22" s="2098" t="s">
        <v>134</v>
      </c>
      <c r="M22" s="2100"/>
      <c r="N22" s="2100"/>
      <c r="O22" s="2101"/>
      <c r="P22" s="2101"/>
      <c r="Q22" s="2101"/>
      <c r="R22" s="2101"/>
      <c r="S22" s="2101"/>
      <c r="T22" s="2083"/>
    </row>
    <row r="23" spans="1:20" ht="14.25" thickBot="1">
      <c r="A23" s="2097" t="s">
        <v>135</v>
      </c>
      <c r="B23" s="697" t="s">
        <v>136</v>
      </c>
      <c r="C23" s="2068"/>
      <c r="D23" s="2068"/>
      <c r="E23" s="2068"/>
      <c r="F23" s="2146"/>
      <c r="G23" s="2146"/>
      <c r="H23" s="2146"/>
      <c r="I23" s="2146"/>
      <c r="J23" s="2146"/>
      <c r="K23" s="2146"/>
      <c r="L23" s="2098" t="s">
        <v>134</v>
      </c>
      <c r="M23" s="2100"/>
      <c r="N23" s="2100"/>
      <c r="O23" s="2101"/>
      <c r="P23" s="2101"/>
      <c r="Q23" s="2101"/>
      <c r="R23" s="2101"/>
      <c r="S23" s="2101"/>
      <c r="T23" s="2083"/>
    </row>
    <row r="24" spans="1:20" ht="14.25" thickBot="1">
      <c r="A24" s="2097" t="s">
        <v>137</v>
      </c>
      <c r="B24" s="697" t="s">
        <v>138</v>
      </c>
      <c r="C24" s="2068"/>
      <c r="D24" s="2068"/>
      <c r="E24" s="2068"/>
      <c r="F24" s="2068"/>
      <c r="G24" s="2068"/>
      <c r="H24" s="2146"/>
      <c r="I24" s="2146"/>
      <c r="J24" s="2146"/>
      <c r="K24" s="2146"/>
      <c r="L24" s="2098"/>
      <c r="M24" s="2071"/>
      <c r="N24" s="2071"/>
      <c r="O24" s="2099"/>
      <c r="P24" s="2099"/>
      <c r="Q24" s="2099"/>
      <c r="R24" s="2099"/>
      <c r="S24" s="2099"/>
      <c r="T24" s="2083"/>
    </row>
    <row r="25" spans="1:20" ht="14.25" thickBot="1">
      <c r="A25" s="2097" t="s">
        <v>139</v>
      </c>
      <c r="B25" s="697" t="s">
        <v>140</v>
      </c>
      <c r="C25" s="2068"/>
      <c r="D25" s="2068"/>
      <c r="E25" s="2068"/>
      <c r="F25" s="2068"/>
      <c r="G25" s="2068"/>
      <c r="H25" s="2068"/>
      <c r="I25" s="2073"/>
      <c r="J25" s="2073"/>
      <c r="K25" s="2073"/>
      <c r="L25" s="2098" t="s">
        <v>134</v>
      </c>
      <c r="M25" s="2100"/>
      <c r="N25" s="2100"/>
      <c r="O25" s="2101"/>
      <c r="P25" s="2101"/>
      <c r="Q25" s="2101"/>
      <c r="R25" s="2101"/>
      <c r="S25" s="2101"/>
      <c r="T25" s="2083"/>
    </row>
    <row r="26" spans="1:20" ht="14.25" thickBot="1">
      <c r="A26" s="2097" t="s">
        <v>141</v>
      </c>
      <c r="B26" s="697" t="s">
        <v>142</v>
      </c>
      <c r="C26" s="2068"/>
      <c r="D26" s="2068"/>
      <c r="E26" s="2068"/>
      <c r="F26" s="2068"/>
      <c r="G26" s="2068"/>
      <c r="H26" s="2068"/>
      <c r="I26" s="2146"/>
      <c r="J26" s="2146"/>
      <c r="K26" s="2146"/>
      <c r="L26" s="2098"/>
      <c r="M26" s="2071"/>
      <c r="N26" s="2071"/>
      <c r="O26" s="2099"/>
      <c r="P26" s="2099"/>
      <c r="Q26" s="2099"/>
      <c r="R26" s="2099"/>
      <c r="S26" s="2099"/>
      <c r="T26" s="2083"/>
    </row>
    <row r="27" spans="1:20" ht="14.25" thickBot="1">
      <c r="A27" s="2097" t="s">
        <v>143</v>
      </c>
      <c r="B27" s="697" t="s">
        <v>144</v>
      </c>
      <c r="C27" s="2068"/>
      <c r="D27" s="2068"/>
      <c r="E27" s="2068"/>
      <c r="F27" s="2068"/>
      <c r="G27" s="2068"/>
      <c r="H27" s="2068"/>
      <c r="I27" s="2073"/>
      <c r="J27" s="2073"/>
      <c r="K27" s="2073"/>
      <c r="L27" s="2098" t="s">
        <v>134</v>
      </c>
      <c r="M27" s="2100"/>
      <c r="N27" s="2100"/>
      <c r="O27" s="2101"/>
      <c r="P27" s="2101"/>
      <c r="Q27" s="2101"/>
      <c r="R27" s="2101"/>
      <c r="S27" s="2101"/>
      <c r="T27" s="2083"/>
    </row>
    <row r="28" spans="1:20" ht="14.25" thickBot="1">
      <c r="A28" s="2097" t="s">
        <v>145</v>
      </c>
      <c r="B28" s="697" t="s">
        <v>146</v>
      </c>
      <c r="C28" s="2068"/>
      <c r="D28" s="2068"/>
      <c r="E28" s="2068"/>
      <c r="F28" s="2068"/>
      <c r="G28" s="2068"/>
      <c r="H28" s="2068"/>
      <c r="I28" s="2146"/>
      <c r="J28" s="2146"/>
      <c r="K28" s="2146"/>
      <c r="L28" s="2098"/>
      <c r="M28" s="2071"/>
      <c r="N28" s="2071"/>
      <c r="O28" s="2099"/>
      <c r="P28" s="2099"/>
      <c r="Q28" s="2099"/>
      <c r="R28" s="2099"/>
      <c r="S28" s="2099"/>
      <c r="T28" s="2083"/>
    </row>
    <row r="29" spans="1:20" ht="14.25" thickBot="1">
      <c r="A29" s="2097" t="s">
        <v>147</v>
      </c>
      <c r="B29" s="697" t="s">
        <v>144</v>
      </c>
      <c r="C29" s="2068"/>
      <c r="D29" s="2068"/>
      <c r="E29" s="2068"/>
      <c r="F29" s="2068"/>
      <c r="G29" s="2068"/>
      <c r="H29" s="2068"/>
      <c r="I29" s="2073"/>
      <c r="J29" s="2073"/>
      <c r="K29" s="2073"/>
      <c r="L29" s="2098" t="s">
        <v>134</v>
      </c>
      <c r="M29" s="2100"/>
      <c r="N29" s="2100"/>
      <c r="O29" s="2101"/>
      <c r="P29" s="2101"/>
      <c r="Q29" s="2101"/>
      <c r="R29" s="2101"/>
      <c r="S29" s="2101"/>
      <c r="T29" s="2083"/>
    </row>
    <row r="30" spans="1:20" s="1946" customFormat="1" thickBot="1">
      <c r="A30" s="2102" t="s">
        <v>148</v>
      </c>
      <c r="B30" s="2062" t="s">
        <v>149</v>
      </c>
      <c r="C30" s="2103"/>
      <c r="D30" s="1161"/>
      <c r="E30" s="1161"/>
      <c r="F30" s="1161"/>
      <c r="G30" s="1161"/>
      <c r="H30" s="1161"/>
      <c r="I30" s="2104"/>
      <c r="J30" s="2104"/>
      <c r="K30" s="2104"/>
      <c r="L30" s="2104"/>
      <c r="M30" s="1779"/>
      <c r="N30" s="1779"/>
    </row>
    <row r="31" spans="1:20" ht="14.25" thickBot="1">
      <c r="A31" s="2090" t="s">
        <v>150</v>
      </c>
      <c r="B31" s="2068" t="s">
        <v>151</v>
      </c>
      <c r="C31" s="2068"/>
      <c r="D31" s="2068"/>
      <c r="E31" s="2146"/>
      <c r="F31" s="2146"/>
      <c r="G31" s="2146"/>
      <c r="H31" s="2146"/>
      <c r="I31" s="2146"/>
      <c r="J31" s="2146"/>
      <c r="K31" s="2146"/>
      <c r="L31" s="2068" t="s">
        <v>88</v>
      </c>
      <c r="M31" s="697"/>
      <c r="N31" s="698"/>
      <c r="O31" s="2071"/>
      <c r="P31" s="698"/>
      <c r="Q31" s="697"/>
      <c r="R31" s="2071"/>
      <c r="S31" s="2071"/>
      <c r="T31" s="2074"/>
    </row>
    <row r="32" spans="1:20" ht="14.25" thickBot="1">
      <c r="A32" s="2087" t="s">
        <v>152</v>
      </c>
      <c r="B32" s="696" t="s">
        <v>153</v>
      </c>
      <c r="C32" s="696"/>
      <c r="D32" s="696"/>
      <c r="E32" s="2149"/>
      <c r="F32" s="2149"/>
      <c r="G32" s="2149"/>
      <c r="H32" s="2149"/>
      <c r="I32" s="2149"/>
      <c r="J32" s="2149"/>
      <c r="K32" s="2149"/>
      <c r="L32" s="696" t="s">
        <v>88</v>
      </c>
      <c r="M32" s="2088"/>
      <c r="N32" s="2089"/>
      <c r="O32" s="2088"/>
      <c r="P32" s="2089"/>
      <c r="Q32" s="697"/>
      <c r="R32" s="2071"/>
      <c r="S32" s="2069"/>
      <c r="T32" s="2070"/>
    </row>
    <row r="33" spans="1:20" ht="14.25" thickBot="1">
      <c r="A33" s="2090" t="s">
        <v>154</v>
      </c>
      <c r="B33" s="2068" t="s">
        <v>155</v>
      </c>
      <c r="C33" s="2068"/>
      <c r="D33" s="2068"/>
      <c r="E33" s="2146"/>
      <c r="F33" s="2146"/>
      <c r="G33" s="2146"/>
      <c r="H33" s="2146"/>
      <c r="I33" s="2146"/>
      <c r="J33" s="2146"/>
      <c r="K33" s="2146"/>
      <c r="L33" s="2068" t="s">
        <v>88</v>
      </c>
      <c r="M33" s="697"/>
      <c r="N33" s="2071"/>
      <c r="O33" s="697"/>
      <c r="P33" s="698"/>
      <c r="Q33" s="2082"/>
      <c r="R33" s="2099"/>
      <c r="S33" s="2099"/>
      <c r="T33" s="2083"/>
    </row>
    <row r="34" spans="1:20" ht="14.25" thickBot="1">
      <c r="A34" s="2090" t="s">
        <v>156</v>
      </c>
      <c r="B34" s="2066" t="s">
        <v>157</v>
      </c>
      <c r="C34" s="2068"/>
      <c r="D34" s="2068"/>
      <c r="E34" s="2068"/>
      <c r="F34" s="2068"/>
      <c r="G34" s="2073"/>
      <c r="H34" s="2073"/>
      <c r="I34" s="2073"/>
      <c r="J34" s="2073"/>
      <c r="K34" s="2073"/>
      <c r="L34" s="696" t="s">
        <v>158</v>
      </c>
      <c r="M34" s="2145"/>
      <c r="N34" s="2145"/>
      <c r="O34" s="2145"/>
      <c r="P34" s="2145"/>
      <c r="Q34" s="2099"/>
      <c r="R34" s="2099"/>
      <c r="S34" s="2099"/>
      <c r="T34" s="2083"/>
    </row>
    <row r="35" spans="1:20" s="1946" customFormat="1" ht="14.25" customHeight="1" thickBot="1">
      <c r="A35" s="2105"/>
      <c r="B35" s="1161"/>
      <c r="C35" s="1161"/>
      <c r="D35" s="2147" t="s">
        <v>159</v>
      </c>
      <c r="E35" s="2148"/>
      <c r="F35" s="2147" t="s">
        <v>160</v>
      </c>
      <c r="G35" s="2148"/>
      <c r="H35" s="2147" t="s">
        <v>161</v>
      </c>
      <c r="I35" s="2148"/>
      <c r="J35" s="2167" t="s">
        <v>162</v>
      </c>
      <c r="K35" s="2168"/>
      <c r="L35" s="2164" t="s">
        <v>163</v>
      </c>
      <c r="M35" s="2165"/>
      <c r="N35" s="2165"/>
      <c r="O35" s="2166"/>
      <c r="T35" s="2106"/>
    </row>
    <row r="36" spans="1:20" ht="14.25" thickBot="1">
      <c r="A36" s="2107" t="s">
        <v>164</v>
      </c>
      <c r="B36" s="2068" t="s">
        <v>165</v>
      </c>
      <c r="C36" s="2068"/>
      <c r="D36" s="2107"/>
      <c r="E36" s="2108"/>
      <c r="F36" s="2109"/>
      <c r="G36" s="2108"/>
      <c r="H36" s="2109"/>
      <c r="I36" s="2108"/>
      <c r="J36" s="2110"/>
      <c r="K36" s="709"/>
      <c r="L36" s="710"/>
      <c r="M36" s="2160"/>
      <c r="N36" s="2160"/>
      <c r="O36" s="2161"/>
      <c r="T36" s="2078"/>
    </row>
    <row r="37" spans="1:20" ht="14.25" thickBot="1">
      <c r="A37" s="2107" t="s">
        <v>166</v>
      </c>
      <c r="B37" s="2068" t="s">
        <v>167</v>
      </c>
      <c r="C37" s="2068"/>
      <c r="D37" s="2107"/>
      <c r="E37" s="2108"/>
      <c r="F37" s="2109"/>
      <c r="G37" s="2108"/>
      <c r="H37" s="2109"/>
      <c r="I37" s="2108"/>
      <c r="J37" s="2110"/>
      <c r="K37" s="709"/>
      <c r="L37" s="710"/>
      <c r="M37" s="2160"/>
      <c r="N37" s="2160"/>
      <c r="O37" s="2161"/>
      <c r="T37" s="2078"/>
    </row>
    <row r="38" spans="1:20" ht="14.25" thickBot="1">
      <c r="A38" s="2111" t="s">
        <v>168</v>
      </c>
      <c r="B38" s="2068" t="s">
        <v>169</v>
      </c>
      <c r="C38" s="2068"/>
      <c r="D38" s="2107"/>
      <c r="E38" s="2108"/>
      <c r="F38" s="2109"/>
      <c r="G38" s="2108"/>
      <c r="H38" s="2109"/>
      <c r="I38" s="2108"/>
      <c r="J38" s="2112"/>
      <c r="K38" s="712"/>
      <c r="L38" s="713"/>
      <c r="M38" s="2113"/>
      <c r="N38" s="2113"/>
      <c r="O38" s="2114"/>
      <c r="T38" s="2078"/>
    </row>
    <row r="39" spans="1:20" ht="14.25" thickBot="1">
      <c r="A39" s="2111" t="s">
        <v>170</v>
      </c>
      <c r="B39" s="696" t="s">
        <v>171</v>
      </c>
      <c r="C39" s="696"/>
      <c r="D39" s="2107"/>
      <c r="E39" s="2108"/>
      <c r="F39" s="2109"/>
      <c r="G39" s="2108"/>
      <c r="H39" s="2109"/>
      <c r="I39" s="2108"/>
      <c r="J39" s="2115"/>
      <c r="K39" s="2116"/>
      <c r="L39" s="2117"/>
      <c r="M39" s="2162"/>
      <c r="N39" s="2162"/>
      <c r="O39" s="2163"/>
      <c r="T39" s="2078"/>
    </row>
    <row r="40" spans="1:20" ht="14.25" thickBot="1">
      <c r="A40" s="2118" t="s">
        <v>172</v>
      </c>
      <c r="B40" s="2071" t="s">
        <v>173</v>
      </c>
      <c r="C40" s="2071"/>
      <c r="D40" s="2145" t="s">
        <v>174</v>
      </c>
      <c r="E40" s="2145"/>
      <c r="F40" s="2145"/>
      <c r="G40" s="2145"/>
      <c r="H40" s="2145"/>
      <c r="I40" s="2145"/>
      <c r="J40" s="2145"/>
      <c r="K40" s="2145"/>
      <c r="L40" s="2071" t="s">
        <v>88</v>
      </c>
      <c r="M40" s="697"/>
      <c r="N40" s="698"/>
      <c r="O40" s="2071"/>
      <c r="P40" s="2071"/>
      <c r="Q40" s="2071"/>
      <c r="R40" s="2071"/>
      <c r="S40" s="2071"/>
      <c r="T40" s="2074"/>
    </row>
    <row r="41" spans="1:20" ht="14.25" thickBot="1">
      <c r="A41" s="2118" t="s">
        <v>175</v>
      </c>
      <c r="B41" s="2071" t="s">
        <v>176</v>
      </c>
      <c r="C41" s="2071"/>
      <c r="D41" s="2071" t="s">
        <v>177</v>
      </c>
      <c r="E41" s="2071"/>
      <c r="F41" s="2071"/>
      <c r="G41" s="2071"/>
      <c r="H41" s="2071"/>
      <c r="I41" s="2071"/>
      <c r="J41" s="2071"/>
      <c r="K41" s="2071"/>
      <c r="L41" s="2071" t="s">
        <v>88</v>
      </c>
      <c r="M41" s="697"/>
      <c r="N41" s="698"/>
      <c r="O41" s="2071"/>
      <c r="P41" s="2071"/>
      <c r="Q41" s="2071"/>
      <c r="R41" s="2071"/>
      <c r="S41" s="2071"/>
      <c r="T41" s="2071"/>
    </row>
    <row r="42" spans="1:20" ht="14.25" thickBot="1">
      <c r="A42" s="2118" t="s">
        <v>178</v>
      </c>
      <c r="B42" s="2071" t="s">
        <v>179</v>
      </c>
      <c r="C42" s="2071"/>
      <c r="D42" s="2071"/>
      <c r="E42" s="2071"/>
      <c r="F42" s="2071"/>
      <c r="G42" s="2071"/>
      <c r="H42" s="2071"/>
      <c r="I42" s="2071"/>
      <c r="J42" s="2071"/>
      <c r="K42" s="2071"/>
      <c r="L42" s="2071" t="s">
        <v>134</v>
      </c>
      <c r="M42" s="697"/>
      <c r="N42" s="698"/>
      <c r="O42" s="2071"/>
      <c r="P42" s="2071"/>
      <c r="Q42" s="2071"/>
      <c r="R42" s="2071"/>
      <c r="S42" s="2071"/>
      <c r="T42" s="2074"/>
    </row>
    <row r="43" spans="1:20" s="1946" customFormat="1" thickBot="1">
      <c r="A43" s="2119" t="s">
        <v>180</v>
      </c>
      <c r="B43" s="1779" t="s">
        <v>181</v>
      </c>
      <c r="C43" s="1779"/>
      <c r="D43" s="1779"/>
      <c r="E43" s="1779"/>
      <c r="F43" s="1779"/>
      <c r="G43" s="1779"/>
      <c r="H43" s="1779"/>
      <c r="I43" s="1779"/>
      <c r="J43" s="1779"/>
      <c r="K43" s="1779"/>
      <c r="L43" s="1779" t="s">
        <v>182</v>
      </c>
      <c r="M43" s="2120"/>
      <c r="N43" s="2121"/>
      <c r="O43" s="1779"/>
      <c r="P43" s="1779"/>
      <c r="Q43" s="1779"/>
      <c r="R43" s="1779"/>
      <c r="S43" s="1779"/>
      <c r="T43" s="2122"/>
    </row>
    <row r="44" spans="1:20" ht="14.25" thickBot="1">
      <c r="A44" s="2118" t="s">
        <v>183</v>
      </c>
      <c r="B44" s="2071" t="s">
        <v>184</v>
      </c>
      <c r="C44" s="2071"/>
      <c r="D44" s="2071"/>
      <c r="E44" s="2071"/>
      <c r="F44" s="2071"/>
      <c r="G44" s="2071"/>
      <c r="H44" s="2071"/>
      <c r="I44" s="2071"/>
      <c r="J44" s="2071"/>
      <c r="K44" s="2071"/>
      <c r="L44" s="2071" t="s">
        <v>134</v>
      </c>
      <c r="M44" s="697"/>
      <c r="N44" s="698"/>
      <c r="O44" s="697"/>
      <c r="P44" s="698"/>
      <c r="Q44" s="697"/>
      <c r="R44" s="2071"/>
      <c r="S44" s="2071"/>
      <c r="T44" s="2074"/>
    </row>
  </sheetData>
  <customSheetViews>
    <customSheetView guid="{9C153D9E-615C-443B-9CD7-551163282F03}" scale="120" showPageBreaks="1" view="pageLayout" topLeftCell="A22">
      <selection activeCell="D33" sqref="D33:K33"/>
      <pageMargins left="0" right="0" top="0" bottom="0" header="0" footer="0"/>
      <pageSetup firstPageNumber="3" orientation="landscape" r:id="rId1"/>
      <headerFooter>
        <oddFooter>&amp;C&amp;P</oddFooter>
      </headerFooter>
    </customSheetView>
    <customSheetView guid="{BE9F68F7-D81B-4526-9959-D871EC50BDFF}" scale="120" showPageBreaks="1" view="pageLayout" topLeftCell="A22">
      <selection activeCell="D33" sqref="D33:K33"/>
      <pageMargins left="0" right="0" top="0" bottom="0" header="0" footer="0"/>
      <pageSetup firstPageNumber="3" orientation="landscape" r:id="rId2"/>
      <headerFooter>
        <oddFooter>&amp;C&amp;P</oddFooter>
      </headerFooter>
    </customSheetView>
    <customSheetView guid="{EF790C5B-80DA-4544-9EB7-EFE0323B2298}" scale="222" showPageBreaks="1" view="pageLayout" topLeftCell="D26">
      <selection activeCell="A6" sqref="A6:U6"/>
      <pageMargins left="0" right="0" top="0" bottom="0" header="0" footer="0"/>
      <pageSetup firstPageNumber="3" orientation="landscape" r:id="rId3"/>
      <headerFooter>
        <oddFooter>&amp;C&amp;P</oddFooter>
      </headerFooter>
    </customSheetView>
    <customSheetView guid="{C9D2DBB1-CD01-4732-8C86-64BE16C94753}" scale="90" showPageBreaks="1" view="pageBreakPreview" topLeftCell="A7">
      <selection activeCell="J27" sqref="J27:K27"/>
      <pageMargins left="0" right="0" top="0" bottom="0" header="0" footer="0"/>
      <pageSetup firstPageNumber="3" orientation="landscape" r:id="rId4"/>
      <headerFooter>
        <oddFooter>&amp;C&amp;P</oddFooter>
      </headerFooter>
    </customSheetView>
    <customSheetView guid="{BFEC163F-7C4E-49B7-9F32-15225772E72F}" scale="90" showPageBreaks="1" view="pageBreakPreview" topLeftCell="A10">
      <selection activeCell="H39" sqref="H39"/>
      <pageMargins left="0" right="0" top="0" bottom="0" header="0" footer="0"/>
      <pageSetup firstPageNumber="3" orientation="landscape" r:id="rId5"/>
      <headerFooter>
        <oddFooter>&amp;C&amp;P</oddFooter>
      </headerFooter>
    </customSheetView>
    <customSheetView guid="{5529DB6B-163A-4048-9107-267B30B97DF3}" scale="90" showPageBreaks="1" view="pageBreakPreview">
      <selection activeCell="J31" sqref="J31"/>
      <pageMargins left="0" right="0" top="0" bottom="0" header="0" footer="0"/>
      <pageSetup firstPageNumber="3" orientation="landscape" r:id="rId6"/>
      <headerFooter>
        <oddFooter>&amp;C&amp;P</oddFooter>
      </headerFooter>
    </customSheetView>
    <customSheetView guid="{9B0763AA-FA4B-479A-900C-C113E8BEEFEB}" scale="120" showPageBreaks="1" view="pageLayout" topLeftCell="A19">
      <selection activeCell="B11" sqref="B11"/>
      <pageMargins left="0" right="0" top="0" bottom="0" header="0" footer="0"/>
      <pageSetup firstPageNumber="3" orientation="landscape" r:id="rId7"/>
      <headerFooter>
        <oddFooter>&amp;C&amp;P</oddFooter>
      </headerFooter>
    </customSheetView>
    <customSheetView guid="{89903799-8228-4A6D-8A81-7F80BC61226D}" scale="120" showPageBreaks="1" view="pageLayout" topLeftCell="A19">
      <selection activeCell="B11" sqref="B11"/>
      <pageMargins left="0" right="0" top="0" bottom="0" header="0" footer="0"/>
      <pageSetup firstPageNumber="3" orientation="landscape" r:id="rId8"/>
      <headerFooter>
        <oddFooter>&amp;C&amp;P</oddFooter>
      </headerFooter>
    </customSheetView>
    <customSheetView guid="{2524630E-605A-4616-AD5D-6CF7B1E9752C}" scale="222" showPageBreaks="1" view="pageLayout" topLeftCell="D26">
      <selection activeCell="A6" sqref="A6:U6"/>
      <pageMargins left="0" right="0" top="0" bottom="0" header="0" footer="0"/>
      <pageSetup firstPageNumber="3" orientation="landscape" r:id="rId9"/>
      <headerFooter>
        <oddFooter>&amp;C&amp;P</oddFooter>
      </headerFooter>
    </customSheetView>
  </customSheetViews>
  <mergeCells count="34">
    <mergeCell ref="M39:O39"/>
    <mergeCell ref="L35:O35"/>
    <mergeCell ref="J35:K35"/>
    <mergeCell ref="E33:K33"/>
    <mergeCell ref="M34:P34"/>
    <mergeCell ref="M36:O36"/>
    <mergeCell ref="O9:P9"/>
    <mergeCell ref="O15:P15"/>
    <mergeCell ref="Q15:R15"/>
    <mergeCell ref="S15:T15"/>
    <mergeCell ref="M37:O37"/>
    <mergeCell ref="F3:K3"/>
    <mergeCell ref="F4:K4"/>
    <mergeCell ref="F7:K7"/>
    <mergeCell ref="B5:T5"/>
    <mergeCell ref="O8:P8"/>
    <mergeCell ref="Q8:R8"/>
    <mergeCell ref="S8:T8"/>
    <mergeCell ref="D40:K40"/>
    <mergeCell ref="E21:K21"/>
    <mergeCell ref="F23:K23"/>
    <mergeCell ref="F6:K6"/>
    <mergeCell ref="D35:E35"/>
    <mergeCell ref="F35:G35"/>
    <mergeCell ref="H35:I35"/>
    <mergeCell ref="I28:K28"/>
    <mergeCell ref="E32:K32"/>
    <mergeCell ref="F8:K8"/>
    <mergeCell ref="F9:K9"/>
    <mergeCell ref="F22:K22"/>
    <mergeCell ref="E31:K31"/>
    <mergeCell ref="E20:K20"/>
    <mergeCell ref="I26:K26"/>
    <mergeCell ref="H24:K24"/>
  </mergeCells>
  <pageMargins left="0.314" right="0.314" top="0.11799999999999999" bottom="0.27500000000000002" header="0.157" footer="0.11799999999999999"/>
  <pageSetup scale="96" firstPageNumber="3" orientation="landscape" r:id="rId10"/>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BM50"/>
  <sheetViews>
    <sheetView view="pageBreakPreview" topLeftCell="BC1" zoomScale="136" zoomScaleNormal="100" zoomScaleSheetLayoutView="136" workbookViewId="0">
      <pane ySplit="1" topLeftCell="A8" activePane="bottomLeft" state="frozen"/>
      <selection pane="bottomLeft" activeCell="F48" sqref="F48"/>
      <selection activeCell="AT1" sqref="AT1"/>
    </sheetView>
  </sheetViews>
  <sheetFormatPr defaultColWidth="9.140625" defaultRowHeight="15.75"/>
  <cols>
    <col min="1" max="1" width="3.5703125" style="269" customWidth="1"/>
    <col min="2" max="2" width="57.85546875" style="135" customWidth="1"/>
    <col min="3" max="3" width="3.5703125" style="135" customWidth="1"/>
    <col min="4" max="4" width="4.5703125" style="135" customWidth="1"/>
    <col min="5" max="5" width="10.42578125" style="784" bestFit="1" customWidth="1"/>
    <col min="6" max="6" width="18.7109375" style="784" customWidth="1"/>
    <col min="7" max="7" width="5.7109375" style="784" customWidth="1"/>
    <col min="8" max="8" width="5.140625" style="784" customWidth="1"/>
    <col min="9" max="9" width="14.7109375" style="784" customWidth="1"/>
    <col min="10" max="11" width="5.7109375" style="784" customWidth="1"/>
    <col min="12" max="12" width="21.28515625" style="699" customWidth="1"/>
    <col min="13" max="13" width="10.5703125" style="135" customWidth="1"/>
    <col min="14" max="14" width="14.85546875" style="135" customWidth="1"/>
    <col min="15" max="17" width="5.7109375" style="135" customWidth="1"/>
    <col min="18" max="18" width="7.5703125" style="135" customWidth="1"/>
    <col min="19" max="19" width="7.28515625" style="135" customWidth="1"/>
    <col min="20" max="20" width="10.28515625" style="135" customWidth="1"/>
    <col min="21" max="21" width="10.140625" style="135" customWidth="1"/>
    <col min="22" max="22" width="15.42578125" style="135" customWidth="1"/>
    <col min="23" max="23" width="9.140625" style="135" customWidth="1"/>
    <col min="24" max="27" width="4.28515625" style="135" customWidth="1"/>
    <col min="28" max="28" width="9" style="135" customWidth="1"/>
    <col min="29" max="29" width="3.5703125" style="135" customWidth="1"/>
    <col min="30" max="30" width="13.42578125" style="135" customWidth="1"/>
    <col min="31" max="31" width="11.5703125" style="135" customWidth="1"/>
    <col min="32" max="32" width="9.42578125" style="135" customWidth="1"/>
    <col min="33" max="33" width="12.42578125" style="135" customWidth="1"/>
    <col min="34" max="34" width="16.5703125" style="271" customWidth="1"/>
    <col min="35" max="35" width="18.28515625" style="135" customWidth="1"/>
    <col min="36" max="37" width="13.28515625" style="271" customWidth="1"/>
    <col min="38" max="38" width="3.5703125" style="135" customWidth="1"/>
    <col min="39" max="39" width="17.28515625" style="769" customWidth="1"/>
    <col min="40" max="40" width="7.7109375" style="784" customWidth="1"/>
    <col min="41" max="41" width="24.5703125" style="769" customWidth="1"/>
    <col min="42" max="42" width="8" style="784" customWidth="1"/>
    <col min="43" max="43" width="7.42578125" style="135" customWidth="1"/>
    <col min="44" max="44" width="8.5703125" style="135" customWidth="1"/>
    <col min="45" max="45" width="5.7109375" style="135" customWidth="1"/>
    <col min="46" max="46" width="21.7109375" style="135" customWidth="1"/>
    <col min="47" max="47" width="21.85546875" style="135" customWidth="1"/>
    <col min="48" max="48" width="22" style="180" customWidth="1"/>
    <col min="49" max="49" width="31.140625" style="180" customWidth="1"/>
    <col min="50" max="50" width="3.5703125" style="135" customWidth="1"/>
    <col min="51" max="51" width="7.42578125" style="137" customWidth="1"/>
    <col min="52" max="52" width="7.7109375" style="135" customWidth="1"/>
    <col min="53" max="53" width="5.85546875" style="135" customWidth="1"/>
    <col min="54" max="54" width="23.42578125" style="135" customWidth="1"/>
    <col min="55" max="55" width="20.42578125" style="135" customWidth="1"/>
    <col min="56" max="56" width="17.42578125" style="180" customWidth="1"/>
    <col min="57" max="57" width="15.42578125" style="180" customWidth="1"/>
    <col min="58" max="59" width="9.7109375" style="180" customWidth="1"/>
    <col min="60" max="60" width="14" style="180" customWidth="1"/>
    <col min="61" max="61" width="3.7109375" style="180" customWidth="1"/>
    <col min="62" max="65" width="3.7109375" style="271" customWidth="1"/>
    <col min="66" max="16384" width="9.140625" style="271"/>
  </cols>
  <sheetData>
    <row r="1" spans="1:65" ht="15.75" customHeight="1">
      <c r="A1" s="133" t="s">
        <v>185</v>
      </c>
      <c r="B1" s="134"/>
      <c r="C1" s="134" t="s">
        <v>186</v>
      </c>
      <c r="D1" s="134"/>
      <c r="I1" s="1016"/>
      <c r="N1" s="133"/>
      <c r="R1" s="133"/>
      <c r="T1" s="133"/>
      <c r="AC1" s="134" t="s">
        <v>186</v>
      </c>
      <c r="AL1" s="134" t="s">
        <v>186</v>
      </c>
      <c r="AP1" s="1016"/>
      <c r="AV1" s="136"/>
      <c r="AW1" s="136"/>
      <c r="AX1" s="134" t="s">
        <v>186</v>
      </c>
      <c r="AY1" s="135"/>
      <c r="AZ1" s="137"/>
      <c r="BD1" s="136"/>
      <c r="BE1" s="136"/>
      <c r="BF1" s="136"/>
      <c r="BG1" s="136"/>
      <c r="BH1" s="136"/>
      <c r="BI1" s="136"/>
    </row>
    <row r="2" spans="1:65" ht="15.75" customHeight="1">
      <c r="A2" s="133"/>
      <c r="B2" s="134"/>
      <c r="C2" s="134"/>
      <c r="D2" s="134"/>
      <c r="I2" s="1016"/>
      <c r="N2" s="133"/>
      <c r="R2" s="133"/>
      <c r="T2" s="133"/>
      <c r="AC2" s="134"/>
      <c r="AL2" s="134"/>
      <c r="AP2" s="1016"/>
      <c r="AV2" s="136"/>
      <c r="AW2" s="136"/>
      <c r="AX2" s="134"/>
      <c r="AY2" s="135"/>
      <c r="AZ2" s="137"/>
      <c r="BD2" s="136"/>
      <c r="BE2" s="136"/>
      <c r="BF2" s="136"/>
      <c r="BG2" s="136"/>
      <c r="BH2" s="136"/>
      <c r="BI2" s="136"/>
    </row>
    <row r="3" spans="1:65" ht="15.75" customHeight="1">
      <c r="A3" s="138"/>
      <c r="B3" s="134"/>
      <c r="C3" s="133"/>
      <c r="D3" s="133"/>
      <c r="I3" s="1017"/>
      <c r="T3" s="272"/>
      <c r="AC3" s="133"/>
      <c r="AE3" s="273"/>
      <c r="AI3" s="274"/>
      <c r="AL3" s="133"/>
      <c r="AM3" s="1399"/>
      <c r="AP3" s="1017"/>
      <c r="AV3" s="139"/>
      <c r="AW3" s="139"/>
      <c r="AX3" s="133"/>
      <c r="AY3" s="273"/>
      <c r="AZ3" s="137"/>
      <c r="BD3" s="139"/>
      <c r="BE3" s="139"/>
      <c r="BF3" s="139"/>
      <c r="BG3" s="139"/>
      <c r="BH3" s="139"/>
      <c r="BI3" s="139"/>
    </row>
    <row r="4" spans="1:65" ht="21" customHeight="1">
      <c r="A4" s="2193" t="s">
        <v>187</v>
      </c>
      <c r="B4" s="140" t="s">
        <v>188</v>
      </c>
      <c r="C4" s="2193" t="s">
        <v>187</v>
      </c>
      <c r="D4" s="141">
        <v>1</v>
      </c>
      <c r="E4" s="1018" t="str">
        <f>CONCATENATE("(1.00",E47,")")</f>
        <v>(1.00)</v>
      </c>
      <c r="F4" s="1018" t="str">
        <f>CONCATENATE("(1.00",F47,")")</f>
        <v>(1.00)</v>
      </c>
      <c r="G4" s="2229" t="str">
        <f>CONCATENATE("(1.00",G47,")")</f>
        <v>(1.00)</v>
      </c>
      <c r="H4" s="2230"/>
      <c r="I4" s="1018" t="str">
        <f>CONCATENATE("(1.00",I47,")")</f>
        <v>(1.00)</v>
      </c>
      <c r="J4" s="2229" t="str">
        <f>CONCATENATE("(1.00",J47,")")</f>
        <v>(1.00)</v>
      </c>
      <c r="K4" s="2230"/>
      <c r="L4" s="1912" t="str">
        <f>CONCATENATE("(1.00",L47,")")</f>
        <v>(1.00)</v>
      </c>
      <c r="M4" s="145">
        <v>1.01</v>
      </c>
      <c r="N4" s="146">
        <v>1.02</v>
      </c>
      <c r="O4" s="142">
        <v>1.03</v>
      </c>
      <c r="P4" s="143"/>
      <c r="Q4" s="144"/>
      <c r="R4" s="142">
        <v>1.04</v>
      </c>
      <c r="S4" s="144"/>
      <c r="T4" s="145">
        <v>1.05</v>
      </c>
      <c r="U4" s="146">
        <v>1.06</v>
      </c>
      <c r="V4" s="97">
        <f>U4+0.01</f>
        <v>1.07</v>
      </c>
      <c r="W4" s="97">
        <f>V4+0.01</f>
        <v>1.08</v>
      </c>
      <c r="X4" s="2184">
        <f>W4+0.01</f>
        <v>1.0900000000000001</v>
      </c>
      <c r="Y4" s="2185"/>
      <c r="Z4" s="2185"/>
      <c r="AA4" s="2185"/>
      <c r="AB4" s="97">
        <f>X4+0.01</f>
        <v>1.1000000000000001</v>
      </c>
      <c r="AC4" s="2193" t="s">
        <v>187</v>
      </c>
      <c r="AD4" s="147">
        <f>AB4+0.01</f>
        <v>1.1100000000000001</v>
      </c>
      <c r="AE4" s="147">
        <f t="shared" ref="AE4:AJ4" si="0">AD4+0.01</f>
        <v>1.1200000000000001</v>
      </c>
      <c r="AF4" s="97">
        <f t="shared" si="0"/>
        <v>1.1300000000000001</v>
      </c>
      <c r="AG4" s="147">
        <f t="shared" si="0"/>
        <v>1.1400000000000001</v>
      </c>
      <c r="AH4" s="97">
        <f t="shared" si="0"/>
        <v>1.1500000000000001</v>
      </c>
      <c r="AI4" s="147">
        <f t="shared" si="0"/>
        <v>1.1600000000000001</v>
      </c>
      <c r="AJ4" s="147">
        <f t="shared" si="0"/>
        <v>1.1700000000000002</v>
      </c>
      <c r="AK4" s="97">
        <f t="shared" ref="AK4:AU4" si="1">AJ4+0.01</f>
        <v>1.1800000000000002</v>
      </c>
      <c r="AL4" s="2193" t="s">
        <v>187</v>
      </c>
      <c r="AM4" s="854">
        <f>AK4+0.01</f>
        <v>1.1900000000000002</v>
      </c>
      <c r="AN4" s="805">
        <f>AM4+0.01</f>
        <v>1.2000000000000002</v>
      </c>
      <c r="AO4" s="805">
        <f>AN4+0.01</f>
        <v>1.2100000000000002</v>
      </c>
      <c r="AP4" s="805" t="str">
        <f>CONCATENATE("(",TEXT(AO4,"0,00"), "a)")</f>
        <v>(1,21a)</v>
      </c>
      <c r="AQ4" s="97">
        <f>AO4+0.01</f>
        <v>1.2200000000000002</v>
      </c>
      <c r="AR4" s="851">
        <f t="shared" si="1"/>
        <v>1.2300000000000002</v>
      </c>
      <c r="AS4" s="97">
        <f t="shared" si="1"/>
        <v>1.2400000000000002</v>
      </c>
      <c r="AT4" s="97">
        <f t="shared" si="1"/>
        <v>1.2500000000000002</v>
      </c>
      <c r="AU4" s="97">
        <f t="shared" si="1"/>
        <v>1.2600000000000002</v>
      </c>
      <c r="AV4" s="97">
        <f>AU4+0.01</f>
        <v>1.2700000000000002</v>
      </c>
      <c r="AW4" s="97">
        <f>AV4+0.01</f>
        <v>1.2800000000000002</v>
      </c>
      <c r="AX4" s="2193" t="s">
        <v>187</v>
      </c>
      <c r="AY4" s="97">
        <f>AW4+0.01</f>
        <v>1.2900000000000003</v>
      </c>
      <c r="AZ4" s="97">
        <f t="shared" ref="AZ4:BE4" si="2">AY4+0.01</f>
        <v>1.3000000000000003</v>
      </c>
      <c r="BA4" s="97">
        <f>AZ4+0.01</f>
        <v>1.3100000000000003</v>
      </c>
      <c r="BB4" s="97">
        <f t="shared" si="2"/>
        <v>1.3200000000000003</v>
      </c>
      <c r="BC4" s="97">
        <f t="shared" si="2"/>
        <v>1.3300000000000003</v>
      </c>
      <c r="BD4" s="97">
        <f t="shared" si="2"/>
        <v>1.3400000000000003</v>
      </c>
      <c r="BE4" s="97">
        <f t="shared" si="2"/>
        <v>1.3500000000000003</v>
      </c>
      <c r="BF4" s="97">
        <f>BE4+0.01</f>
        <v>1.3600000000000003</v>
      </c>
      <c r="BG4" s="97">
        <f>BF4+0.01</f>
        <v>1.3700000000000003</v>
      </c>
      <c r="BH4" s="97">
        <f>BG4+0.01</f>
        <v>1.3800000000000003</v>
      </c>
      <c r="BI4" s="2218">
        <f>BH4+0.01</f>
        <v>1.3900000000000003</v>
      </c>
      <c r="BJ4" s="2219"/>
      <c r="BK4" s="2219"/>
      <c r="BL4" s="2219"/>
      <c r="BM4" s="2220"/>
    </row>
    <row r="5" spans="1:65" ht="40.5" customHeight="1">
      <c r="A5" s="2194"/>
      <c r="B5" s="2225" t="s">
        <v>189</v>
      </c>
      <c r="C5" s="2194"/>
      <c r="D5" s="2227" t="s">
        <v>190</v>
      </c>
      <c r="E5" s="2199" t="s">
        <v>191</v>
      </c>
      <c r="F5" s="2231" t="s">
        <v>192</v>
      </c>
      <c r="G5" s="2232" t="s">
        <v>193</v>
      </c>
      <c r="H5" s="2233"/>
      <c r="I5" s="2234" t="s">
        <v>194</v>
      </c>
      <c r="J5" s="2236" t="s">
        <v>195</v>
      </c>
      <c r="K5" s="2237"/>
      <c r="L5" s="2238" t="s">
        <v>196</v>
      </c>
      <c r="M5" s="848" t="s">
        <v>197</v>
      </c>
      <c r="N5" s="2173" t="s">
        <v>198</v>
      </c>
      <c r="O5" s="2172" t="s">
        <v>199</v>
      </c>
      <c r="P5" s="2186"/>
      <c r="Q5" s="2173"/>
      <c r="R5" s="2172" t="s">
        <v>200</v>
      </c>
      <c r="S5" s="2173"/>
      <c r="T5" s="2174" t="s">
        <v>201</v>
      </c>
      <c r="U5" s="2174" t="s">
        <v>202</v>
      </c>
      <c r="V5" s="2174" t="s">
        <v>203</v>
      </c>
      <c r="W5" s="2174" t="s">
        <v>204</v>
      </c>
      <c r="X5" s="2172" t="s">
        <v>205</v>
      </c>
      <c r="Y5" s="2186"/>
      <c r="Z5" s="2186"/>
      <c r="AA5" s="2186"/>
      <c r="AB5" s="2174" t="s">
        <v>206</v>
      </c>
      <c r="AC5" s="2194"/>
      <c r="AD5" s="2172" t="s">
        <v>207</v>
      </c>
      <c r="AE5" s="2217" t="s">
        <v>208</v>
      </c>
      <c r="AF5" s="2191" t="s">
        <v>209</v>
      </c>
      <c r="AG5" s="2172" t="s">
        <v>210</v>
      </c>
      <c r="AH5" s="2191" t="s">
        <v>211</v>
      </c>
      <c r="AI5" s="2172" t="s">
        <v>212</v>
      </c>
      <c r="AJ5" s="2243" t="s">
        <v>213</v>
      </c>
      <c r="AK5" s="2198" t="s">
        <v>214</v>
      </c>
      <c r="AL5" s="2194"/>
      <c r="AM5" s="2200" t="s">
        <v>215</v>
      </c>
      <c r="AN5" s="2199" t="s">
        <v>216</v>
      </c>
      <c r="AO5" s="2231" t="s">
        <v>217</v>
      </c>
      <c r="AP5" s="2199" t="s">
        <v>218</v>
      </c>
      <c r="AQ5" s="2174" t="s">
        <v>219</v>
      </c>
      <c r="AR5" s="2174" t="s">
        <v>220</v>
      </c>
      <c r="AS5" s="2217" t="s">
        <v>221</v>
      </c>
      <c r="AT5" s="2191" t="s">
        <v>222</v>
      </c>
      <c r="AU5" s="2191" t="s">
        <v>223</v>
      </c>
      <c r="AV5" s="2191" t="s">
        <v>224</v>
      </c>
      <c r="AW5" s="2191" t="s">
        <v>225</v>
      </c>
      <c r="AX5" s="2194"/>
      <c r="AY5" s="2174" t="s">
        <v>226</v>
      </c>
      <c r="AZ5" s="2174" t="s">
        <v>227</v>
      </c>
      <c r="BA5" s="2217" t="s">
        <v>228</v>
      </c>
      <c r="BB5" s="2191" t="s">
        <v>229</v>
      </c>
      <c r="BC5" s="2191" t="s">
        <v>230</v>
      </c>
      <c r="BD5" s="2191" t="s">
        <v>231</v>
      </c>
      <c r="BE5" s="2191" t="s">
        <v>232</v>
      </c>
      <c r="BF5" s="2191" t="s">
        <v>233</v>
      </c>
      <c r="BG5" s="2191" t="s">
        <v>234</v>
      </c>
      <c r="BH5" s="2191" t="s">
        <v>235</v>
      </c>
      <c r="BI5" s="2207" t="s">
        <v>236</v>
      </c>
      <c r="BJ5" s="2208"/>
      <c r="BK5" s="2208"/>
      <c r="BL5" s="2208"/>
      <c r="BM5" s="2209"/>
    </row>
    <row r="6" spans="1:65" ht="13.5">
      <c r="A6" s="2194"/>
      <c r="B6" s="2226"/>
      <c r="C6" s="2194"/>
      <c r="D6" s="2227"/>
      <c r="E6" s="2199"/>
      <c r="F6" s="2231"/>
      <c r="G6" s="2232"/>
      <c r="H6" s="2233"/>
      <c r="I6" s="2234"/>
      <c r="J6" s="2236"/>
      <c r="K6" s="2237"/>
      <c r="L6" s="2238"/>
      <c r="M6" s="848"/>
      <c r="N6" s="2173"/>
      <c r="O6" s="2172"/>
      <c r="P6" s="2186"/>
      <c r="Q6" s="2173"/>
      <c r="R6" s="2172"/>
      <c r="S6" s="2173"/>
      <c r="T6" s="2174"/>
      <c r="U6" s="2174"/>
      <c r="V6" s="2174"/>
      <c r="W6" s="2174"/>
      <c r="X6" s="2172"/>
      <c r="Y6" s="2186"/>
      <c r="Z6" s="2186"/>
      <c r="AA6" s="2186"/>
      <c r="AB6" s="2174"/>
      <c r="AC6" s="2194"/>
      <c r="AD6" s="2172"/>
      <c r="AE6" s="2217"/>
      <c r="AF6" s="2191"/>
      <c r="AG6" s="2172"/>
      <c r="AH6" s="2191"/>
      <c r="AI6" s="2172"/>
      <c r="AJ6" s="2243"/>
      <c r="AK6" s="2198"/>
      <c r="AL6" s="2194"/>
      <c r="AM6" s="2200"/>
      <c r="AN6" s="2199"/>
      <c r="AO6" s="2231"/>
      <c r="AP6" s="2199"/>
      <c r="AQ6" s="2174"/>
      <c r="AR6" s="2174"/>
      <c r="AS6" s="2217"/>
      <c r="AT6" s="2191"/>
      <c r="AU6" s="2191"/>
      <c r="AV6" s="2191"/>
      <c r="AW6" s="2191"/>
      <c r="AX6" s="2194"/>
      <c r="AY6" s="2174"/>
      <c r="AZ6" s="2174"/>
      <c r="BA6" s="2217"/>
      <c r="BB6" s="2191"/>
      <c r="BC6" s="2191"/>
      <c r="BD6" s="2191"/>
      <c r="BE6" s="2191"/>
      <c r="BF6" s="2191"/>
      <c r="BG6" s="2191"/>
      <c r="BH6" s="2191"/>
      <c r="BI6" s="2210"/>
      <c r="BJ6" s="2211"/>
      <c r="BK6" s="2211"/>
      <c r="BL6" s="2211"/>
      <c r="BM6" s="2212"/>
    </row>
    <row r="7" spans="1:65" ht="12.75" customHeight="1">
      <c r="A7" s="2194"/>
      <c r="B7" s="2226"/>
      <c r="C7" s="2194"/>
      <c r="D7" s="2227"/>
      <c r="E7" s="2199"/>
      <c r="F7" s="2231"/>
      <c r="G7" s="2232"/>
      <c r="H7" s="2233"/>
      <c r="I7" s="2234"/>
      <c r="J7" s="2236"/>
      <c r="K7" s="2237"/>
      <c r="L7" s="2238"/>
      <c r="M7" s="1910"/>
      <c r="N7" s="2173"/>
      <c r="O7" s="149"/>
      <c r="P7" s="150"/>
      <c r="Q7" s="151"/>
      <c r="R7" s="2172"/>
      <c r="S7" s="2173"/>
      <c r="T7" s="2174"/>
      <c r="U7" s="2174"/>
      <c r="V7" s="2174"/>
      <c r="W7" s="2174"/>
      <c r="X7" s="2172"/>
      <c r="Y7" s="2186"/>
      <c r="Z7" s="2186"/>
      <c r="AA7" s="2186"/>
      <c r="AB7" s="2174"/>
      <c r="AC7" s="2194"/>
      <c r="AD7" s="2172"/>
      <c r="AE7" s="2217"/>
      <c r="AF7" s="2191"/>
      <c r="AG7" s="152"/>
      <c r="AH7" s="275"/>
      <c r="AI7" s="126" t="s">
        <v>237</v>
      </c>
      <c r="AJ7" s="2243"/>
      <c r="AK7" s="2198"/>
      <c r="AL7" s="2194"/>
      <c r="AM7" s="2200"/>
      <c r="AN7" s="2199"/>
      <c r="AO7" s="2231"/>
      <c r="AP7" s="2199"/>
      <c r="AQ7" s="2174"/>
      <c r="AR7" s="2174"/>
      <c r="AS7" s="2217"/>
      <c r="AT7" s="2191"/>
      <c r="AU7" s="2191"/>
      <c r="AV7" s="2191"/>
      <c r="AW7" s="2191"/>
      <c r="AX7" s="2194"/>
      <c r="AY7" s="2174"/>
      <c r="AZ7" s="2174"/>
      <c r="BA7" s="2217"/>
      <c r="BB7" s="2191"/>
      <c r="BC7" s="2191"/>
      <c r="BD7" s="2191"/>
      <c r="BE7" s="2191"/>
      <c r="BF7" s="2191"/>
      <c r="BG7" s="2191"/>
      <c r="BH7" s="2191"/>
      <c r="BI7" s="2210"/>
      <c r="BJ7" s="2211"/>
      <c r="BK7" s="2211"/>
      <c r="BL7" s="2211"/>
      <c r="BM7" s="2212"/>
    </row>
    <row r="8" spans="1:65" ht="23.25" customHeight="1">
      <c r="A8" s="2194"/>
      <c r="B8" s="2226"/>
      <c r="C8" s="2194"/>
      <c r="D8" s="2227"/>
      <c r="E8" s="2199"/>
      <c r="F8" s="1908"/>
      <c r="G8" s="155"/>
      <c r="H8" s="148"/>
      <c r="I8" s="2235"/>
      <c r="J8" s="1443"/>
      <c r="K8" s="954"/>
      <c r="M8" s="1910"/>
      <c r="N8" s="2173"/>
      <c r="O8" s="2187" t="str">
        <f>CONCATENATE("Se pelo menos o ano de nascimento de [NOME] for declarado 
►",TEXT(T4,"(0,00)"),)</f>
        <v>Se pelo menos o ano de nascimento de [NOME] for declarado 
►(1,05)</v>
      </c>
      <c r="P8" s="2188"/>
      <c r="Q8" s="2189"/>
      <c r="R8" s="2172" t="s">
        <v>238</v>
      </c>
      <c r="S8" s="2173"/>
      <c r="T8" s="2174"/>
      <c r="U8" s="2174"/>
      <c r="V8" s="2174"/>
      <c r="W8" s="2174"/>
      <c r="X8" s="2172"/>
      <c r="Y8" s="2186"/>
      <c r="Z8" s="2186"/>
      <c r="AA8" s="2186"/>
      <c r="AB8" s="2174"/>
      <c r="AC8" s="2194"/>
      <c r="AD8" s="2172"/>
      <c r="AE8" s="2217"/>
      <c r="AF8" s="2191"/>
      <c r="AG8" s="152" t="s">
        <v>239</v>
      </c>
      <c r="AH8" s="2244" t="s">
        <v>240</v>
      </c>
      <c r="AI8" s="126" t="s">
        <v>241</v>
      </c>
      <c r="AJ8" s="2243"/>
      <c r="AK8" s="2198"/>
      <c r="AL8" s="2194"/>
      <c r="AM8" s="678" t="s">
        <v>242</v>
      </c>
      <c r="AN8" s="2199"/>
      <c r="AO8" s="1400" t="s">
        <v>243</v>
      </c>
      <c r="AP8" s="2199"/>
      <c r="AQ8" s="2174"/>
      <c r="AR8" s="2174"/>
      <c r="AS8" s="2217"/>
      <c r="AT8" s="2191"/>
      <c r="AU8" s="2191"/>
      <c r="AV8" s="2191"/>
      <c r="AW8" s="2191"/>
      <c r="AX8" s="2194"/>
      <c r="AY8" s="2174"/>
      <c r="AZ8" s="2174"/>
      <c r="BA8" s="2217"/>
      <c r="BB8" s="2191"/>
      <c r="BC8" s="117"/>
      <c r="BD8" s="2191"/>
      <c r="BE8" s="2191"/>
      <c r="BF8" s="2191"/>
      <c r="BG8" s="2191"/>
      <c r="BH8" s="2191"/>
      <c r="BI8" s="2210"/>
      <c r="BJ8" s="2211"/>
      <c r="BK8" s="2211"/>
      <c r="BL8" s="2211"/>
      <c r="BM8" s="2212"/>
    </row>
    <row r="9" spans="1:65" ht="20.25" customHeight="1">
      <c r="A9" s="2194"/>
      <c r="B9" s="2226"/>
      <c r="C9" s="2194"/>
      <c r="D9" s="2227"/>
      <c r="E9" s="1435"/>
      <c r="F9" s="1908" t="s">
        <v>244</v>
      </c>
      <c r="G9" s="155"/>
      <c r="H9" s="148"/>
      <c r="I9" s="2235"/>
      <c r="J9" s="1020"/>
      <c r="K9" s="1021"/>
      <c r="L9" s="1908"/>
      <c r="M9" s="1910"/>
      <c r="N9" s="2174" t="s">
        <v>245</v>
      </c>
      <c r="O9" s="2187"/>
      <c r="P9" s="2188"/>
      <c r="Q9" s="2189"/>
      <c r="R9" s="2172"/>
      <c r="S9" s="2173"/>
      <c r="T9" s="2174"/>
      <c r="U9" s="2174"/>
      <c r="V9" s="2174"/>
      <c r="W9" s="2174"/>
      <c r="X9" s="2177"/>
      <c r="Y9" s="2178"/>
      <c r="Z9" s="2178"/>
      <c r="AA9" s="2178"/>
      <c r="AB9" s="2174"/>
      <c r="AC9" s="2194"/>
      <c r="AD9" s="155"/>
      <c r="AE9" s="2217"/>
      <c r="AF9" s="2191"/>
      <c r="AG9" s="152" t="s">
        <v>246</v>
      </c>
      <c r="AH9" s="2245"/>
      <c r="AI9" s="126" t="s">
        <v>247</v>
      </c>
      <c r="AJ9" s="2243"/>
      <c r="AK9" s="2198"/>
      <c r="AL9" s="2194"/>
      <c r="AM9" s="880" t="s">
        <v>248</v>
      </c>
      <c r="AN9" s="2199"/>
      <c r="AO9" s="677" t="s">
        <v>249</v>
      </c>
      <c r="AP9" s="2199"/>
      <c r="AQ9" s="2174"/>
      <c r="AR9" s="2174"/>
      <c r="AS9" s="2191"/>
      <c r="AT9" s="40"/>
      <c r="AU9" s="117"/>
      <c r="AV9" s="34" t="s">
        <v>250</v>
      </c>
      <c r="AW9" s="2191"/>
      <c r="AX9" s="2194"/>
      <c r="AY9" s="2174"/>
      <c r="AZ9" s="2174"/>
      <c r="BA9" s="2191"/>
      <c r="BB9" s="31" t="s">
        <v>251</v>
      </c>
      <c r="BC9" s="117"/>
      <c r="BD9" s="34" t="s">
        <v>250</v>
      </c>
      <c r="BE9" s="117"/>
      <c r="BF9" s="2191"/>
      <c r="BG9" s="2191"/>
      <c r="BH9" s="2191"/>
      <c r="BI9" s="2213"/>
      <c r="BJ9" s="2214"/>
      <c r="BK9" s="2214"/>
      <c r="BL9" s="2214"/>
      <c r="BM9" s="2215"/>
    </row>
    <row r="10" spans="1:65" ht="15.75" customHeight="1">
      <c r="A10" s="2194"/>
      <c r="B10" s="156" t="s">
        <v>252</v>
      </c>
      <c r="C10" s="2194"/>
      <c r="D10" s="2227"/>
      <c r="E10" s="1022" t="str">
        <f>CONCATENATE("1 Sim ►(", M4, ")")</f>
        <v>1 Sim ►(1,01)</v>
      </c>
      <c r="F10" s="1908" t="s">
        <v>253</v>
      </c>
      <c r="G10" s="155"/>
      <c r="H10" s="148"/>
      <c r="I10" s="2235"/>
      <c r="J10" s="1022"/>
      <c r="K10" s="1023"/>
      <c r="M10" s="178" t="s">
        <v>254</v>
      </c>
      <c r="N10" s="2174"/>
      <c r="O10" s="2187"/>
      <c r="P10" s="2188"/>
      <c r="Q10" s="2189"/>
      <c r="R10" s="2172"/>
      <c r="S10" s="2173"/>
      <c r="T10" s="2174"/>
      <c r="U10" s="2174"/>
      <c r="V10" s="157"/>
      <c r="W10" s="2174"/>
      <c r="X10" s="2177"/>
      <c r="Y10" s="2178"/>
      <c r="Z10" s="2178"/>
      <c r="AA10" s="2178"/>
      <c r="AB10" s="2174"/>
      <c r="AC10" s="2194"/>
      <c r="AD10" s="158" t="s">
        <v>255</v>
      </c>
      <c r="AE10" s="90"/>
      <c r="AF10" s="2191"/>
      <c r="AG10" s="152" t="s">
        <v>256</v>
      </c>
      <c r="AH10" s="2245"/>
      <c r="AI10" s="126" t="s">
        <v>257</v>
      </c>
      <c r="AJ10" s="2243"/>
      <c r="AK10" s="2198"/>
      <c r="AL10" s="2194"/>
      <c r="AM10" s="880" t="s">
        <v>258</v>
      </c>
      <c r="AN10" s="2199"/>
      <c r="AO10" s="1047" t="s">
        <v>259</v>
      </c>
      <c r="AP10" s="2199"/>
      <c r="AQ10" s="2174"/>
      <c r="AR10" s="2174"/>
      <c r="AS10" s="159"/>
      <c r="AT10" s="31" t="s">
        <v>251</v>
      </c>
      <c r="AU10" s="31"/>
      <c r="AV10" s="168" t="s">
        <v>260</v>
      </c>
      <c r="AW10" s="2196" t="s">
        <v>261</v>
      </c>
      <c r="AX10" s="2194"/>
      <c r="AY10" s="2174"/>
      <c r="AZ10" s="2174"/>
      <c r="BA10" s="159"/>
      <c r="BB10" s="31" t="s">
        <v>262</v>
      </c>
      <c r="BC10" s="31"/>
      <c r="BD10" s="168" t="s">
        <v>260</v>
      </c>
      <c r="BE10" s="2196" t="s">
        <v>261</v>
      </c>
      <c r="BF10" s="2191"/>
      <c r="BG10" s="2191"/>
      <c r="BH10" s="2191"/>
      <c r="BI10" s="160" t="s">
        <v>263</v>
      </c>
      <c r="BJ10" s="161" t="s">
        <v>126</v>
      </c>
      <c r="BK10" s="161" t="s">
        <v>148</v>
      </c>
      <c r="BL10" s="161" t="s">
        <v>264</v>
      </c>
      <c r="BM10" s="161" t="s">
        <v>265</v>
      </c>
    </row>
    <row r="11" spans="1:65" ht="13.5" customHeight="1">
      <c r="A11" s="2194"/>
      <c r="B11" s="162" t="s">
        <v>266</v>
      </c>
      <c r="C11" s="2194"/>
      <c r="D11" s="2227"/>
      <c r="E11" s="1022" t="s">
        <v>267</v>
      </c>
      <c r="F11" s="1908" t="s">
        <v>268</v>
      </c>
      <c r="G11" s="155"/>
      <c r="H11" s="148"/>
      <c r="I11" s="1023"/>
      <c r="J11" s="1022"/>
      <c r="K11" s="1023"/>
      <c r="M11" s="178" t="s">
        <v>269</v>
      </c>
      <c r="N11" s="154" t="s">
        <v>270</v>
      </c>
      <c r="O11" s="2187"/>
      <c r="P11" s="2188"/>
      <c r="Q11" s="2189"/>
      <c r="R11" s="2172"/>
      <c r="S11" s="2173"/>
      <c r="T11" s="2174"/>
      <c r="U11" s="2174"/>
      <c r="V11" s="163" t="s">
        <v>271</v>
      </c>
      <c r="W11" s="164" t="s">
        <v>106</v>
      </c>
      <c r="X11" s="2177"/>
      <c r="Y11" s="2178"/>
      <c r="Z11" s="2178"/>
      <c r="AA11" s="2178"/>
      <c r="AB11" s="165"/>
      <c r="AC11" s="2194"/>
      <c r="AD11" s="158" t="s">
        <v>272</v>
      </c>
      <c r="AE11" s="90"/>
      <c r="AF11" s="117"/>
      <c r="AG11" s="152" t="s">
        <v>273</v>
      </c>
      <c r="AH11" s="2245"/>
      <c r="AI11" s="126" t="s">
        <v>274</v>
      </c>
      <c r="AJ11" s="2243"/>
      <c r="AK11" s="2198"/>
      <c r="AL11" s="2194"/>
      <c r="AM11" s="1077" t="s">
        <v>275</v>
      </c>
      <c r="AN11" s="2199"/>
      <c r="AO11" s="1047" t="s">
        <v>276</v>
      </c>
      <c r="AP11" s="2199"/>
      <c r="AQ11" s="166"/>
      <c r="AR11" s="167"/>
      <c r="AS11" s="166"/>
      <c r="AT11" s="31" t="s">
        <v>262</v>
      </c>
      <c r="AU11" s="117" t="str">
        <f>CONCATENATE("0 Desempregado ►(",AY4,")")</f>
        <v>0 Desempregado ►(1,29)</v>
      </c>
      <c r="AV11" s="174" t="s">
        <v>277</v>
      </c>
      <c r="AW11" s="2196"/>
      <c r="AX11" s="2194"/>
      <c r="AY11" s="166"/>
      <c r="AZ11" s="169"/>
      <c r="BA11" s="166"/>
      <c r="BB11" s="31" t="s">
        <v>278</v>
      </c>
      <c r="BC11" s="117" t="str">
        <f>CONCATENATE("0 Desempregado ►(",BF4,")")</f>
        <v>0 Desempregado ►(1,36)</v>
      </c>
      <c r="BD11" s="174" t="s">
        <v>277</v>
      </c>
      <c r="BE11" s="2196"/>
      <c r="BF11" s="2191"/>
      <c r="BG11" s="2191"/>
      <c r="BH11" s="2191"/>
      <c r="BI11" s="2204" t="s">
        <v>279</v>
      </c>
      <c r="BJ11" s="2204" t="s">
        <v>280</v>
      </c>
      <c r="BK11" s="2204" t="s">
        <v>281</v>
      </c>
      <c r="BL11" s="2204" t="s">
        <v>282</v>
      </c>
      <c r="BM11" s="2204" t="s">
        <v>283</v>
      </c>
    </row>
    <row r="12" spans="1:65" ht="23.25" customHeight="1">
      <c r="A12" s="2194"/>
      <c r="B12" s="162" t="s">
        <v>284</v>
      </c>
      <c r="C12" s="2194"/>
      <c r="D12" s="2227"/>
      <c r="E12" s="1435"/>
      <c r="F12" s="1019" t="s">
        <v>285</v>
      </c>
      <c r="G12" s="1910" t="str">
        <f>CONCATENATE("►►(",TEXT(M4,"0,00"),")")</f>
        <v>►►(1,01)</v>
      </c>
      <c r="H12" s="148"/>
      <c r="I12" s="1024" t="str">
        <f>CONCATENATE("1 Novo membro")</f>
        <v>1 Novo membro</v>
      </c>
      <c r="J12" s="1025"/>
      <c r="K12" s="908"/>
      <c r="M12" s="1910"/>
      <c r="N12" s="154" t="s">
        <v>286</v>
      </c>
      <c r="O12" s="170"/>
      <c r="P12" s="171"/>
      <c r="Q12" s="172"/>
      <c r="R12" s="2172"/>
      <c r="S12" s="2173"/>
      <c r="T12" s="2174"/>
      <c r="U12" s="44"/>
      <c r="V12" s="163" t="s">
        <v>287</v>
      </c>
      <c r="W12" s="2183" t="s">
        <v>288</v>
      </c>
      <c r="X12" s="2177"/>
      <c r="Y12" s="2178"/>
      <c r="Z12" s="2178"/>
      <c r="AA12" s="2178"/>
      <c r="AB12" s="165"/>
      <c r="AC12" s="2194"/>
      <c r="AD12" s="170" t="s">
        <v>289</v>
      </c>
      <c r="AE12" s="90"/>
      <c r="AF12" s="98"/>
      <c r="AG12" s="152" t="s">
        <v>290</v>
      </c>
      <c r="AH12" s="2245"/>
      <c r="AI12" s="126" t="s">
        <v>291</v>
      </c>
      <c r="AJ12" s="276"/>
      <c r="AK12" s="275"/>
      <c r="AL12" s="2194"/>
      <c r="AM12" s="1401" t="s">
        <v>292</v>
      </c>
      <c r="AN12" s="2199"/>
      <c r="AO12" s="1047" t="s">
        <v>293</v>
      </c>
      <c r="AP12" s="2199"/>
      <c r="AQ12" s="166"/>
      <c r="AR12" s="167"/>
      <c r="AS12" s="166"/>
      <c r="AT12" s="31" t="s">
        <v>278</v>
      </c>
      <c r="AU12" s="2191" t="s">
        <v>294</v>
      </c>
      <c r="AV12" s="2196" t="s">
        <v>295</v>
      </c>
      <c r="AW12" s="2196" t="s">
        <v>296</v>
      </c>
      <c r="AX12" s="2194"/>
      <c r="AY12" s="166"/>
      <c r="AZ12" s="169"/>
      <c r="BA12" s="166"/>
      <c r="BB12" s="177" t="s">
        <v>297</v>
      </c>
      <c r="BC12" s="31" t="s">
        <v>294</v>
      </c>
      <c r="BD12" s="2196" t="s">
        <v>295</v>
      </c>
      <c r="BE12" s="174" t="s">
        <v>296</v>
      </c>
      <c r="BF12" s="175"/>
      <c r="BG12" s="175"/>
      <c r="BH12" s="2191"/>
      <c r="BI12" s="2205"/>
      <c r="BJ12" s="2205"/>
      <c r="BK12" s="2205"/>
      <c r="BL12" s="2205"/>
      <c r="BM12" s="2205"/>
    </row>
    <row r="13" spans="1:65" ht="25.5" customHeight="1">
      <c r="A13" s="2194"/>
      <c r="B13" s="162" t="s">
        <v>298</v>
      </c>
      <c r="C13" s="2194"/>
      <c r="D13" s="2227"/>
      <c r="E13" s="1435"/>
      <c r="F13" s="1908" t="s">
        <v>299</v>
      </c>
      <c r="G13" s="155"/>
      <c r="H13" s="148"/>
      <c r="I13" s="1023" t="str">
        <f>CONCATENATE("2 Esquecido  ►(", M4, ")")</f>
        <v>2 Esquecido  ►(1,01)</v>
      </c>
      <c r="J13" s="1026"/>
      <c r="K13" s="1027"/>
      <c r="L13" s="1082" t="s">
        <v>300</v>
      </c>
      <c r="M13" s="1914"/>
      <c r="N13" s="154" t="s">
        <v>301</v>
      </c>
      <c r="O13" s="149"/>
      <c r="P13" s="150"/>
      <c r="Q13" s="151"/>
      <c r="R13" s="2172"/>
      <c r="S13" s="2173"/>
      <c r="U13" s="165" t="s">
        <v>302</v>
      </c>
      <c r="V13" s="163" t="s">
        <v>303</v>
      </c>
      <c r="W13" s="2183"/>
      <c r="X13" s="2177"/>
      <c r="Y13" s="2178"/>
      <c r="Z13" s="2178"/>
      <c r="AA13" s="2178"/>
      <c r="AB13" s="165"/>
      <c r="AC13" s="2194"/>
      <c r="AD13" s="170"/>
      <c r="AE13" s="27" t="s">
        <v>304</v>
      </c>
      <c r="AF13" s="117" t="s">
        <v>106</v>
      </c>
      <c r="AH13" s="2245"/>
      <c r="AI13" s="126" t="s">
        <v>305</v>
      </c>
      <c r="AJ13" s="25" t="s">
        <v>106</v>
      </c>
      <c r="AK13" s="27" t="str">
        <f>CONCATENATE("1 Sim")</f>
        <v>1 Sim</v>
      </c>
      <c r="AL13" s="2194"/>
      <c r="AM13" s="1401" t="s">
        <v>306</v>
      </c>
      <c r="AN13" s="1123"/>
      <c r="AO13" s="1047" t="s">
        <v>307</v>
      </c>
      <c r="AP13" s="1110"/>
      <c r="AQ13" s="165" t="s">
        <v>302</v>
      </c>
      <c r="AR13" s="176"/>
      <c r="AS13" s="165" t="s">
        <v>302</v>
      </c>
      <c r="AT13" s="177" t="s">
        <v>297</v>
      </c>
      <c r="AU13" s="2191"/>
      <c r="AV13" s="2196"/>
      <c r="AW13" s="2196"/>
      <c r="AX13" s="2194"/>
      <c r="AY13" s="178" t="s">
        <v>302</v>
      </c>
      <c r="AZ13" s="179"/>
      <c r="BA13" s="165" t="s">
        <v>302</v>
      </c>
      <c r="BB13" s="177" t="s">
        <v>308</v>
      </c>
      <c r="BC13" s="85" t="s">
        <v>309</v>
      </c>
      <c r="BD13" s="2196"/>
      <c r="BE13" s="174" t="s">
        <v>310</v>
      </c>
      <c r="BF13" s="496"/>
      <c r="BH13" s="2191"/>
      <c r="BI13" s="2205"/>
      <c r="BJ13" s="2205"/>
      <c r="BK13" s="2205"/>
      <c r="BL13" s="2205"/>
      <c r="BM13" s="2205"/>
    </row>
    <row r="14" spans="1:65" ht="27">
      <c r="A14" s="2194"/>
      <c r="B14" s="162" t="s">
        <v>311</v>
      </c>
      <c r="C14" s="2194"/>
      <c r="D14" s="2227"/>
      <c r="E14" s="1435"/>
      <c r="F14" s="1908" t="s">
        <v>312</v>
      </c>
      <c r="G14" s="155"/>
      <c r="H14" s="148"/>
      <c r="I14" s="1907"/>
      <c r="J14" s="1026"/>
      <c r="K14" s="1027"/>
      <c r="L14" s="880" t="s">
        <v>313</v>
      </c>
      <c r="M14" s="1914"/>
      <c r="N14" s="154" t="s">
        <v>314</v>
      </c>
      <c r="O14" s="149"/>
      <c r="Q14" s="151"/>
      <c r="R14" s="2172"/>
      <c r="S14" s="2173"/>
      <c r="T14" s="1015" t="s">
        <v>302</v>
      </c>
      <c r="U14" s="181" t="s">
        <v>315</v>
      </c>
      <c r="V14" s="163" t="s">
        <v>316</v>
      </c>
      <c r="W14" s="182"/>
      <c r="X14" s="2177"/>
      <c r="Y14" s="2178"/>
      <c r="Z14" s="2178"/>
      <c r="AA14" s="2178"/>
      <c r="AB14" s="165"/>
      <c r="AC14" s="2194"/>
      <c r="AD14" s="158"/>
      <c r="AE14" s="27" t="s">
        <v>267</v>
      </c>
      <c r="AF14" s="117" t="s">
        <v>267</v>
      </c>
      <c r="AH14" s="2245"/>
      <c r="AI14" s="126" t="s">
        <v>317</v>
      </c>
      <c r="AJ14" s="25" t="str">
        <f>CONCATENATE("2 Não ► (",AM4,")")</f>
        <v>2 Não ► (1,19)</v>
      </c>
      <c r="AK14" s="31" t="str">
        <f>CONCATENATE("2 Não► (",AQ4,")")</f>
        <v>2 Não► (1,22)</v>
      </c>
      <c r="AL14" s="2194"/>
      <c r="AM14" s="1402" t="s">
        <v>318</v>
      </c>
      <c r="AN14" s="1110"/>
      <c r="AO14" s="1047" t="s">
        <v>319</v>
      </c>
      <c r="AP14" s="1110"/>
      <c r="AQ14" s="2174" t="str">
        <f>CONCATENATE(" 2 Não ►(",AS4,")")</f>
        <v xml:space="preserve"> 2 Não ►(1,24)</v>
      </c>
      <c r="AR14" s="183"/>
      <c r="AS14" s="165" t="s">
        <v>315</v>
      </c>
      <c r="AT14" s="177" t="s">
        <v>320</v>
      </c>
      <c r="AU14" s="85" t="s">
        <v>309</v>
      </c>
      <c r="AV14" s="2196" t="s">
        <v>321</v>
      </c>
      <c r="AW14" s="2196" t="s">
        <v>310</v>
      </c>
      <c r="AX14" s="2194"/>
      <c r="AY14" s="2192" t="str">
        <f>CONCATENATE("2 Não ►(",TEXT(BA4,"0,00"),")")</f>
        <v>2 Não ►(1,31)</v>
      </c>
      <c r="AZ14" s="184"/>
      <c r="BA14" s="165" t="s">
        <v>315</v>
      </c>
      <c r="BB14" s="177" t="s">
        <v>322</v>
      </c>
      <c r="BC14" s="85" t="s">
        <v>323</v>
      </c>
      <c r="BD14" s="174" t="s">
        <v>321</v>
      </c>
      <c r="BE14" s="188" t="s">
        <v>324</v>
      </c>
      <c r="BF14" s="175" t="str">
        <f>CONCATENATE("1 Sim ")</f>
        <v xml:space="preserve">1 Sim </v>
      </c>
      <c r="BG14" s="178" t="s">
        <v>302</v>
      </c>
      <c r="BH14" s="2191"/>
      <c r="BI14" s="2205"/>
      <c r="BJ14" s="2205"/>
      <c r="BK14" s="2205"/>
      <c r="BL14" s="2205"/>
      <c r="BM14" s="2205"/>
    </row>
    <row r="15" spans="1:65" ht="36" customHeight="1">
      <c r="A15" s="2194"/>
      <c r="B15" s="185" t="s">
        <v>325</v>
      </c>
      <c r="C15" s="2194"/>
      <c r="D15" s="2227"/>
      <c r="E15" s="1435"/>
      <c r="F15" s="1908" t="s">
        <v>326</v>
      </c>
      <c r="G15" s="155"/>
      <c r="H15" s="148"/>
      <c r="I15" s="1907"/>
      <c r="J15" s="1025"/>
      <c r="K15" s="908"/>
      <c r="L15" s="880" t="s">
        <v>327</v>
      </c>
      <c r="M15" s="1914"/>
      <c r="N15" s="154" t="s">
        <v>328</v>
      </c>
      <c r="O15" s="170"/>
      <c r="Q15" s="172"/>
      <c r="R15" s="2172"/>
      <c r="S15" s="2173"/>
      <c r="T15" s="1015" t="s">
        <v>329</v>
      </c>
      <c r="V15" s="163" t="s">
        <v>330</v>
      </c>
      <c r="W15" s="182"/>
      <c r="X15" s="2177"/>
      <c r="Y15" s="2178"/>
      <c r="Z15" s="2178"/>
      <c r="AA15" s="2178"/>
      <c r="AB15" s="165"/>
      <c r="AC15" s="2194"/>
      <c r="AD15" s="158"/>
      <c r="AE15" s="90"/>
      <c r="AF15" s="1437"/>
      <c r="AG15" s="152"/>
      <c r="AH15" s="2245"/>
      <c r="AI15" s="126" t="s">
        <v>331</v>
      </c>
      <c r="AJ15" s="25"/>
      <c r="AK15" s="31"/>
      <c r="AL15" s="2194"/>
      <c r="AM15" s="1077" t="s">
        <v>332</v>
      </c>
      <c r="AN15" s="1403"/>
      <c r="AO15" s="1047" t="s">
        <v>333</v>
      </c>
      <c r="AP15" s="1403"/>
      <c r="AQ15" s="2174"/>
      <c r="AR15" s="187"/>
      <c r="AS15" s="165"/>
      <c r="AT15" s="177" t="s">
        <v>322</v>
      </c>
      <c r="AU15" s="2191" t="s">
        <v>323</v>
      </c>
      <c r="AV15" s="2196"/>
      <c r="AW15" s="2196"/>
      <c r="AX15" s="2194"/>
      <c r="AY15" s="2192"/>
      <c r="AZ15" s="186"/>
      <c r="BA15" s="165"/>
      <c r="BB15" s="177" t="s">
        <v>334</v>
      </c>
      <c r="BC15" s="165" t="s">
        <v>335</v>
      </c>
      <c r="BD15" s="188" t="s">
        <v>336</v>
      </c>
      <c r="BE15" s="188" t="s">
        <v>337</v>
      </c>
      <c r="BF15" s="2221" t="s">
        <v>267</v>
      </c>
      <c r="BG15" s="2192" t="str">
        <f>CONCATENATE(" 2 Não  ►(",BI4,")")</f>
        <v xml:space="preserve"> 2 Não  ►(1,39)</v>
      </c>
      <c r="BH15" s="2191"/>
      <c r="BI15" s="2205"/>
      <c r="BJ15" s="2205"/>
      <c r="BK15" s="2205"/>
      <c r="BL15" s="2205"/>
      <c r="BM15" s="2205"/>
    </row>
    <row r="16" spans="1:65" ht="27">
      <c r="A16" s="2194"/>
      <c r="B16" s="185" t="s">
        <v>338</v>
      </c>
      <c r="C16" s="2194"/>
      <c r="D16" s="2227"/>
      <c r="E16" s="1435"/>
      <c r="F16" s="1908" t="s">
        <v>339</v>
      </c>
      <c r="G16" s="155"/>
      <c r="H16" s="148"/>
      <c r="I16" s="1907"/>
      <c r="J16" s="1025"/>
      <c r="K16" s="908"/>
      <c r="L16" s="880" t="s">
        <v>340</v>
      </c>
      <c r="M16" s="1914"/>
      <c r="N16" s="605" t="s">
        <v>341</v>
      </c>
      <c r="O16" s="170"/>
      <c r="P16" s="171"/>
      <c r="Q16" s="172"/>
      <c r="R16" s="2172"/>
      <c r="S16" s="2173"/>
      <c r="T16" s="1015" t="s">
        <v>342</v>
      </c>
      <c r="U16" s="2181" t="s">
        <v>343</v>
      </c>
      <c r="V16" s="163" t="s">
        <v>344</v>
      </c>
      <c r="W16" s="182"/>
      <c r="X16" s="2177"/>
      <c r="Y16" s="2178"/>
      <c r="Z16" s="2178"/>
      <c r="AA16" s="2178"/>
      <c r="AB16" s="165"/>
      <c r="AC16" s="2194"/>
      <c r="AD16" s="155"/>
      <c r="AE16" s="90"/>
      <c r="AF16" s="1437"/>
      <c r="AG16" s="152"/>
      <c r="AH16" s="2245"/>
      <c r="AI16" s="126" t="s">
        <v>345</v>
      </c>
      <c r="AJ16" s="190"/>
      <c r="AK16" s="31"/>
      <c r="AL16" s="2194"/>
      <c r="AM16" s="1402" t="s">
        <v>346</v>
      </c>
      <c r="AN16" s="1110"/>
      <c r="AO16" s="1047" t="s">
        <v>347</v>
      </c>
      <c r="AP16" s="1110"/>
      <c r="AQ16" s="165"/>
      <c r="AR16" s="849"/>
      <c r="AS16" s="848"/>
      <c r="AT16" s="177" t="s">
        <v>334</v>
      </c>
      <c r="AU16" s="2191"/>
      <c r="AV16" s="188" t="s">
        <v>336</v>
      </c>
      <c r="AW16" s="2197" t="s">
        <v>324</v>
      </c>
      <c r="AX16" s="2194"/>
      <c r="AY16" s="165"/>
      <c r="AZ16" s="848"/>
      <c r="BA16" s="848"/>
      <c r="BB16" s="117" t="s">
        <v>348</v>
      </c>
      <c r="BC16" s="85" t="s">
        <v>349</v>
      </c>
      <c r="BD16" s="188" t="s">
        <v>350</v>
      </c>
      <c r="BE16" s="1424" t="s">
        <v>351</v>
      </c>
      <c r="BF16" s="2221"/>
      <c r="BG16" s="2192"/>
      <c r="BH16" s="2191"/>
      <c r="BI16" s="2205"/>
      <c r="BJ16" s="2205"/>
      <c r="BK16" s="2205"/>
      <c r="BL16" s="2205"/>
      <c r="BM16" s="2205"/>
    </row>
    <row r="17" spans="1:65" ht="27">
      <c r="A17" s="2194"/>
      <c r="B17" s="195" t="s">
        <v>352</v>
      </c>
      <c r="C17" s="2194"/>
      <c r="D17" s="2227"/>
      <c r="E17" s="1435"/>
      <c r="F17" s="1908" t="s">
        <v>353</v>
      </c>
      <c r="G17" s="155"/>
      <c r="H17" s="148"/>
      <c r="I17" s="1907"/>
      <c r="J17" s="1025"/>
      <c r="K17" s="908"/>
      <c r="L17" s="880" t="s">
        <v>354</v>
      </c>
      <c r="M17" s="1914"/>
      <c r="N17" s="1044" t="s">
        <v>355</v>
      </c>
      <c r="O17" s="170"/>
      <c r="P17" s="171"/>
      <c r="Q17" s="172"/>
      <c r="R17" s="2172"/>
      <c r="S17" s="2173"/>
      <c r="T17" s="192"/>
      <c r="U17" s="2181"/>
      <c r="V17" s="163" t="s">
        <v>356</v>
      </c>
      <c r="W17" s="158"/>
      <c r="X17" s="2177"/>
      <c r="Y17" s="2178"/>
      <c r="Z17" s="2178"/>
      <c r="AA17" s="2178"/>
      <c r="AB17" s="165"/>
      <c r="AC17" s="2194"/>
      <c r="AD17" s="155"/>
      <c r="AE17" s="90"/>
      <c r="AF17" s="1437"/>
      <c r="AG17" s="152"/>
      <c r="AH17" s="2245"/>
      <c r="AI17" s="126" t="s">
        <v>357</v>
      </c>
      <c r="AJ17" s="276"/>
      <c r="AK17" s="275"/>
      <c r="AL17" s="2194"/>
      <c r="AM17" s="1402" t="s">
        <v>358</v>
      </c>
      <c r="AN17" s="1110"/>
      <c r="AO17" s="1047" t="s">
        <v>359</v>
      </c>
      <c r="AP17" s="1110"/>
      <c r="AQ17" s="165"/>
      <c r="AR17" s="181"/>
      <c r="AS17" s="848"/>
      <c r="AT17" s="117" t="s">
        <v>348</v>
      </c>
      <c r="AU17" s="165" t="s">
        <v>335</v>
      </c>
      <c r="AV17" s="2197" t="s">
        <v>350</v>
      </c>
      <c r="AW17" s="2197"/>
      <c r="AX17" s="2194"/>
      <c r="AY17" s="165"/>
      <c r="AZ17" s="848"/>
      <c r="BA17" s="848"/>
      <c r="BB17" s="31" t="s">
        <v>360</v>
      </c>
      <c r="BC17" s="165" t="s">
        <v>361</v>
      </c>
      <c r="BD17" s="34" t="s">
        <v>362</v>
      </c>
      <c r="BE17" s="28" t="s">
        <v>363</v>
      </c>
      <c r="BF17" s="2197" t="s">
        <v>364</v>
      </c>
      <c r="BG17" s="2197"/>
      <c r="BH17" s="2191"/>
      <c r="BI17" s="2205"/>
      <c r="BJ17" s="2205"/>
      <c r="BK17" s="2205"/>
      <c r="BL17" s="2205"/>
      <c r="BM17" s="2205"/>
    </row>
    <row r="18" spans="1:65" ht="27">
      <c r="A18" s="2194"/>
      <c r="B18" s="185" t="s">
        <v>365</v>
      </c>
      <c r="C18" s="2194"/>
      <c r="D18" s="2227"/>
      <c r="E18" s="1435"/>
      <c r="F18" s="1908" t="s">
        <v>366</v>
      </c>
      <c r="G18" s="155"/>
      <c r="H18" s="148"/>
      <c r="I18" s="1907"/>
      <c r="J18" s="1025"/>
      <c r="K18" s="908"/>
      <c r="L18" s="880" t="s">
        <v>367</v>
      </c>
      <c r="M18" s="1914"/>
      <c r="N18" s="866" t="s">
        <v>368</v>
      </c>
      <c r="O18" s="170"/>
      <c r="P18" s="171"/>
      <c r="Q18" s="172"/>
      <c r="R18" s="2172"/>
      <c r="S18" s="2173"/>
      <c r="T18" s="192"/>
      <c r="U18" s="2181"/>
      <c r="V18" s="165" t="s">
        <v>369</v>
      </c>
      <c r="W18" s="158"/>
      <c r="X18" s="2177"/>
      <c r="Y18" s="2178"/>
      <c r="Z18" s="2178"/>
      <c r="AA18" s="2178"/>
      <c r="AB18" s="165"/>
      <c r="AC18" s="2194"/>
      <c r="AD18" s="155"/>
      <c r="AE18" s="90"/>
      <c r="AF18" s="31"/>
      <c r="AG18" s="152"/>
      <c r="AH18" s="2245"/>
      <c r="AI18" s="152"/>
      <c r="AJ18" s="276"/>
      <c r="AK18" s="275"/>
      <c r="AL18" s="2194"/>
      <c r="AM18" s="1402" t="s">
        <v>370</v>
      </c>
      <c r="AN18" s="1404"/>
      <c r="AO18" s="1047" t="s">
        <v>371</v>
      </c>
      <c r="AP18" s="1110"/>
      <c r="AQ18" s="166"/>
      <c r="AR18" s="849"/>
      <c r="AS18" s="848"/>
      <c r="AT18" s="31" t="s">
        <v>360</v>
      </c>
      <c r="AU18" s="85" t="s">
        <v>349</v>
      </c>
      <c r="AV18" s="2197"/>
      <c r="AW18" s="2197" t="s">
        <v>337</v>
      </c>
      <c r="AX18" s="2194"/>
      <c r="AY18" s="166"/>
      <c r="AZ18" s="2216" t="str">
        <f>CONCATENATE("►►(",BF4,")")</f>
        <v>►►(1,36)</v>
      </c>
      <c r="BA18" s="2216"/>
      <c r="BB18" s="191"/>
      <c r="BC18" s="165" t="s">
        <v>372</v>
      </c>
      <c r="BD18" s="188" t="s">
        <v>373</v>
      </c>
      <c r="BE18" s="168" t="s">
        <v>374</v>
      </c>
      <c r="BF18" s="2197"/>
      <c r="BG18" s="2197"/>
      <c r="BH18" s="2191"/>
      <c r="BI18" s="2205"/>
      <c r="BJ18" s="2205"/>
      <c r="BK18" s="2205"/>
      <c r="BL18" s="2205"/>
      <c r="BM18" s="2205"/>
    </row>
    <row r="19" spans="1:65" ht="40.5">
      <c r="A19" s="2194"/>
      <c r="B19" s="185" t="s">
        <v>375</v>
      </c>
      <c r="C19" s="2194"/>
      <c r="D19" s="2227"/>
      <c r="E19" s="1435"/>
      <c r="F19" s="1908" t="s">
        <v>376</v>
      </c>
      <c r="G19" s="155"/>
      <c r="H19" s="148"/>
      <c r="I19" s="1907"/>
      <c r="J19" s="1025"/>
      <c r="K19" s="908"/>
      <c r="L19" s="1082" t="s">
        <v>377</v>
      </c>
      <c r="M19" s="1914"/>
      <c r="N19" s="866" t="s">
        <v>378</v>
      </c>
      <c r="O19" s="170"/>
      <c r="P19" s="171"/>
      <c r="Q19" s="172"/>
      <c r="R19" s="2175"/>
      <c r="S19" s="2176"/>
      <c r="T19" s="192"/>
      <c r="U19" s="2181"/>
      <c r="V19" s="193"/>
      <c r="W19" s="194"/>
      <c r="X19" s="2177"/>
      <c r="Y19" s="2178"/>
      <c r="Z19" s="2178"/>
      <c r="AA19" s="2178"/>
      <c r="AB19" s="193"/>
      <c r="AC19" s="2194"/>
      <c r="AD19" s="155"/>
      <c r="AE19" s="90"/>
      <c r="AF19" s="1437"/>
      <c r="AG19" s="152"/>
      <c r="AH19" s="2245"/>
      <c r="AI19" s="2241"/>
      <c r="AJ19" s="276"/>
      <c r="AK19" s="275"/>
      <c r="AL19" s="2194"/>
      <c r="AM19" s="1402" t="s">
        <v>379</v>
      </c>
      <c r="AN19" s="1404"/>
      <c r="AO19" s="1047" t="s">
        <v>380</v>
      </c>
      <c r="AP19" s="1404"/>
      <c r="AQ19" s="166"/>
      <c r="AR19" s="849" t="str">
        <f>CONCATENATE("►►","(",AY4,")")</f>
        <v>►►(1,29)</v>
      </c>
      <c r="AS19" s="848"/>
      <c r="AU19" s="165" t="s">
        <v>361</v>
      </c>
      <c r="AV19" s="34" t="s">
        <v>362</v>
      </c>
      <c r="AW19" s="2197"/>
      <c r="AX19" s="2194"/>
      <c r="AY19" s="166"/>
      <c r="AZ19" s="2216"/>
      <c r="BA19" s="2216"/>
      <c r="BB19" s="31"/>
      <c r="BC19" s="848" t="str">
        <f>AU21</f>
        <v>8 Artes e espetáculos</v>
      </c>
      <c r="BD19" s="188" t="s">
        <v>381</v>
      </c>
      <c r="BF19" s="2197"/>
      <c r="BG19" s="2197"/>
      <c r="BH19" s="2191"/>
      <c r="BI19" s="2205"/>
      <c r="BJ19" s="2205"/>
      <c r="BK19" s="2205"/>
      <c r="BL19" s="2205"/>
      <c r="BM19" s="2205"/>
    </row>
    <row r="20" spans="1:65" ht="33" customHeight="1">
      <c r="A20" s="2194"/>
      <c r="B20" s="195"/>
      <c r="C20" s="2194"/>
      <c r="D20" s="2227"/>
      <c r="E20" s="1435"/>
      <c r="F20" s="1908" t="s">
        <v>382</v>
      </c>
      <c r="G20" s="155"/>
      <c r="H20" s="148"/>
      <c r="I20" s="1907"/>
      <c r="J20" s="1025"/>
      <c r="K20" s="908"/>
      <c r="L20" s="880" t="s">
        <v>383</v>
      </c>
      <c r="M20" s="1914"/>
      <c r="N20" s="2191" t="s">
        <v>384</v>
      </c>
      <c r="O20" s="158"/>
      <c r="P20" s="154"/>
      <c r="Q20" s="181"/>
      <c r="R20" s="2177" t="s">
        <v>385</v>
      </c>
      <c r="S20" s="2190"/>
      <c r="T20" s="192"/>
      <c r="U20" s="2181"/>
      <c r="V20" s="193"/>
      <c r="W20" s="194"/>
      <c r="X20" s="2177"/>
      <c r="Y20" s="2178"/>
      <c r="Z20" s="2178"/>
      <c r="AA20" s="2178"/>
      <c r="AB20" s="193"/>
      <c r="AC20" s="2194"/>
      <c r="AD20" s="155"/>
      <c r="AE20" s="196"/>
      <c r="AF20" s="1437"/>
      <c r="AG20" s="152"/>
      <c r="AH20" s="2245"/>
      <c r="AI20" s="2241"/>
      <c r="AJ20" s="276"/>
      <c r="AK20" s="275"/>
      <c r="AL20" s="2194"/>
      <c r="AM20" s="1402" t="s">
        <v>386</v>
      </c>
      <c r="AN20" s="1404"/>
      <c r="AO20" s="1047" t="s">
        <v>387</v>
      </c>
      <c r="AP20" s="1404"/>
      <c r="AQ20" s="166"/>
      <c r="AR20" s="849"/>
      <c r="AS20" s="848"/>
      <c r="AT20" s="191"/>
      <c r="AU20" s="165" t="s">
        <v>372</v>
      </c>
      <c r="AV20" s="2197" t="s">
        <v>373</v>
      </c>
      <c r="AW20" s="1424" t="s">
        <v>351</v>
      </c>
      <c r="AX20" s="2194"/>
      <c r="AY20" s="166"/>
      <c r="AZ20" s="848"/>
      <c r="BA20" s="848"/>
      <c r="BB20" s="1498"/>
      <c r="BC20" s="848" t="s">
        <v>388</v>
      </c>
      <c r="BD20" s="188" t="s">
        <v>389</v>
      </c>
      <c r="BF20" s="1424"/>
      <c r="BG20" s="1424"/>
      <c r="BH20" s="2191"/>
      <c r="BI20" s="2205"/>
      <c r="BJ20" s="2205"/>
      <c r="BK20" s="2205"/>
      <c r="BL20" s="2205"/>
      <c r="BM20" s="2205"/>
    </row>
    <row r="21" spans="1:65" ht="24.75" customHeight="1">
      <c r="A21" s="2194"/>
      <c r="B21" s="195"/>
      <c r="C21" s="2194"/>
      <c r="D21" s="2227"/>
      <c r="E21" s="1435"/>
      <c r="F21" s="1908" t="s">
        <v>390</v>
      </c>
      <c r="G21" s="155"/>
      <c r="H21" s="148"/>
      <c r="I21" s="1907"/>
      <c r="J21" s="1025"/>
      <c r="K21" s="908"/>
      <c r="L21" s="1082" t="s">
        <v>391</v>
      </c>
      <c r="M21" s="1914"/>
      <c r="N21" s="2191"/>
      <c r="O21" s="158"/>
      <c r="P21" s="154"/>
      <c r="Q21" s="181"/>
      <c r="R21" s="2177"/>
      <c r="S21" s="2190"/>
      <c r="T21" s="192"/>
      <c r="U21" s="2181"/>
      <c r="V21" s="193"/>
      <c r="W21" s="194"/>
      <c r="X21" s="2177"/>
      <c r="Y21" s="2178"/>
      <c r="Z21" s="2178"/>
      <c r="AA21" s="2178"/>
      <c r="AB21" s="193"/>
      <c r="AC21" s="2194"/>
      <c r="AD21" s="155"/>
      <c r="AE21" s="196"/>
      <c r="AF21" s="1437"/>
      <c r="AG21" s="152"/>
      <c r="AH21" s="2245"/>
      <c r="AI21" s="2241"/>
      <c r="AJ21" s="276"/>
      <c r="AK21" s="275"/>
      <c r="AL21" s="2194"/>
      <c r="AM21" s="1402" t="s">
        <v>392</v>
      </c>
      <c r="AN21" s="1404"/>
      <c r="AO21" s="1047" t="s">
        <v>393</v>
      </c>
      <c r="AP21" s="1404"/>
      <c r="AQ21" s="166"/>
      <c r="AR21" s="849"/>
      <c r="AS21" s="848"/>
      <c r="AT21" s="31"/>
      <c r="AU21" s="848" t="s">
        <v>394</v>
      </c>
      <c r="AV21" s="2197"/>
      <c r="AW21" s="1424" t="s">
        <v>363</v>
      </c>
      <c r="AX21" s="2194"/>
      <c r="AY21" s="166"/>
      <c r="AZ21" s="848"/>
      <c r="BA21" s="848"/>
      <c r="BB21" s="173"/>
      <c r="BC21" s="848" t="s">
        <v>395</v>
      </c>
      <c r="BD21" s="188" t="s">
        <v>396</v>
      </c>
      <c r="BF21" s="1424"/>
      <c r="BG21" s="1424"/>
      <c r="BH21" s="2191"/>
      <c r="BI21" s="2205"/>
      <c r="BJ21" s="2205"/>
      <c r="BK21" s="2205"/>
      <c r="BL21" s="2205"/>
      <c r="BM21" s="2205"/>
    </row>
    <row r="22" spans="1:65" ht="13.5" customHeight="1">
      <c r="A22" s="2194"/>
      <c r="B22" s="195"/>
      <c r="C22" s="2194"/>
      <c r="D22" s="2227"/>
      <c r="E22" s="1435"/>
      <c r="G22" s="155"/>
      <c r="H22" s="148"/>
      <c r="I22" s="1907"/>
      <c r="J22" s="1025"/>
      <c r="K22" s="908"/>
      <c r="L22" s="880" t="s">
        <v>397</v>
      </c>
      <c r="M22" s="1914"/>
      <c r="N22" s="2191"/>
      <c r="O22" s="158"/>
      <c r="P22" s="154"/>
      <c r="Q22" s="181"/>
      <c r="R22" s="2177"/>
      <c r="S22" s="2190"/>
      <c r="T22" s="192"/>
      <c r="U22" s="2181"/>
      <c r="V22" s="193"/>
      <c r="W22" s="194"/>
      <c r="X22" s="2177"/>
      <c r="Y22" s="2178"/>
      <c r="Z22" s="2178"/>
      <c r="AA22" s="2178"/>
      <c r="AB22" s="193"/>
      <c r="AC22" s="2194"/>
      <c r="AD22" s="155"/>
      <c r="AE22" s="196"/>
      <c r="AF22" s="1437"/>
      <c r="AG22" s="152"/>
      <c r="AH22" s="2245"/>
      <c r="AI22" s="2241"/>
      <c r="AJ22" s="276"/>
      <c r="AK22" s="275"/>
      <c r="AL22" s="2194"/>
      <c r="AM22" s="1402" t="s">
        <v>398</v>
      </c>
      <c r="AN22" s="1404"/>
      <c r="AO22" s="1047" t="s">
        <v>399</v>
      </c>
      <c r="AP22" s="1404"/>
      <c r="AQ22" s="166"/>
      <c r="AR22" s="849"/>
      <c r="AS22" s="848"/>
      <c r="AT22" s="173"/>
      <c r="AU22" s="848" t="s">
        <v>388</v>
      </c>
      <c r="AV22" s="2197" t="s">
        <v>381</v>
      </c>
      <c r="AW22" s="168" t="s">
        <v>374</v>
      </c>
      <c r="AX22" s="2194"/>
      <c r="AY22" s="166"/>
      <c r="AZ22" s="848"/>
      <c r="BA22" s="848"/>
      <c r="BB22" s="173"/>
      <c r="BC22" s="848"/>
      <c r="BD22" s="188" t="s">
        <v>400</v>
      </c>
      <c r="BF22" s="1424"/>
      <c r="BG22" s="1424"/>
      <c r="BH22" s="2191"/>
      <c r="BI22" s="2205"/>
      <c r="BJ22" s="2205"/>
      <c r="BK22" s="2205"/>
      <c r="BL22" s="2205"/>
      <c r="BM22" s="2205"/>
    </row>
    <row r="23" spans="1:65" ht="13.5" customHeight="1">
      <c r="A23" s="2194"/>
      <c r="B23" s="195"/>
      <c r="C23" s="2194"/>
      <c r="D23" s="2227"/>
      <c r="E23" s="1435"/>
      <c r="F23" s="1908"/>
      <c r="G23" s="155"/>
      <c r="H23" s="148"/>
      <c r="I23" s="1907"/>
      <c r="J23" s="1025"/>
      <c r="K23" s="908"/>
      <c r="L23" s="880" t="s">
        <v>401</v>
      </c>
      <c r="M23" s="1910"/>
      <c r="N23" s="866"/>
      <c r="O23" s="158"/>
      <c r="P23" s="154"/>
      <c r="Q23" s="181"/>
      <c r="R23" s="2177"/>
      <c r="S23" s="2190"/>
      <c r="T23" s="192"/>
      <c r="U23" s="2181"/>
      <c r="V23" s="193"/>
      <c r="W23" s="194"/>
      <c r="X23" s="2177"/>
      <c r="Y23" s="2178"/>
      <c r="Z23" s="2178"/>
      <c r="AA23" s="2178"/>
      <c r="AB23" s="193"/>
      <c r="AC23" s="2194"/>
      <c r="AD23" s="155"/>
      <c r="AE23" s="196"/>
      <c r="AF23" s="1437"/>
      <c r="AG23" s="152"/>
      <c r="AH23" s="2245"/>
      <c r="AI23" s="2241"/>
      <c r="AJ23" s="276"/>
      <c r="AK23" s="275"/>
      <c r="AL23" s="2194"/>
      <c r="AM23" s="1402" t="s">
        <v>402</v>
      </c>
      <c r="AN23" s="1404"/>
      <c r="AO23" s="1047" t="s">
        <v>403</v>
      </c>
      <c r="AP23" s="1404"/>
      <c r="AQ23" s="166"/>
      <c r="AR23" s="849"/>
      <c r="AS23" s="848"/>
      <c r="AU23" s="848" t="s">
        <v>395</v>
      </c>
      <c r="AV23" s="2197"/>
      <c r="AW23" s="1424"/>
      <c r="AX23" s="2194"/>
      <c r="AY23" s="166"/>
      <c r="AZ23" s="848"/>
      <c r="BA23" s="848"/>
      <c r="BB23" s="173"/>
      <c r="BC23" s="848"/>
      <c r="BE23" s="1424"/>
      <c r="BF23" s="1424"/>
      <c r="BG23" s="1424"/>
      <c r="BH23" s="2191"/>
      <c r="BI23" s="2205"/>
      <c r="BJ23" s="2205"/>
      <c r="BK23" s="2205"/>
      <c r="BL23" s="2205"/>
      <c r="BM23" s="2205"/>
    </row>
    <row r="24" spans="1:65" ht="13.5" customHeight="1">
      <c r="A24" s="2194"/>
      <c r="B24" s="195"/>
      <c r="C24" s="2194"/>
      <c r="D24" s="2227"/>
      <c r="E24" s="1435"/>
      <c r="F24" s="1908"/>
      <c r="G24" s="155"/>
      <c r="H24" s="148"/>
      <c r="I24" s="1907"/>
      <c r="J24" s="1025"/>
      <c r="K24" s="908"/>
      <c r="L24" s="880" t="s">
        <v>404</v>
      </c>
      <c r="M24" s="1910"/>
      <c r="O24" s="158"/>
      <c r="P24" s="154"/>
      <c r="Q24" s="181"/>
      <c r="R24" s="2177"/>
      <c r="S24" s="2190"/>
      <c r="T24" s="192"/>
      <c r="U24" s="2181"/>
      <c r="V24" s="193"/>
      <c r="W24" s="194"/>
      <c r="X24" s="2177"/>
      <c r="Y24" s="2178"/>
      <c r="Z24" s="2178"/>
      <c r="AA24" s="2178"/>
      <c r="AB24" s="193"/>
      <c r="AC24" s="2194"/>
      <c r="AD24" s="155"/>
      <c r="AE24" s="196"/>
      <c r="AF24" s="1437"/>
      <c r="AG24" s="152"/>
      <c r="AH24" s="2245"/>
      <c r="AI24" s="2241"/>
      <c r="AJ24" s="276"/>
      <c r="AK24" s="275"/>
      <c r="AL24" s="2194"/>
      <c r="AM24" s="1402" t="s">
        <v>405</v>
      </c>
      <c r="AN24" s="1404"/>
      <c r="AO24" s="1047" t="s">
        <v>406</v>
      </c>
      <c r="AP24" s="1404"/>
      <c r="AQ24" s="166"/>
      <c r="AR24" s="849"/>
      <c r="AS24" s="848"/>
      <c r="AT24" s="173"/>
      <c r="AU24" s="165"/>
      <c r="AV24" s="188" t="s">
        <v>389</v>
      </c>
      <c r="AW24" s="1424"/>
      <c r="AX24" s="2194"/>
      <c r="AY24" s="166"/>
      <c r="AZ24" s="848"/>
      <c r="BA24" s="848"/>
      <c r="BB24" s="173"/>
      <c r="BC24" s="1426"/>
      <c r="BD24" s="496"/>
      <c r="BE24" s="1944"/>
      <c r="BF24" s="1424"/>
      <c r="BG24" s="1424"/>
      <c r="BH24" s="2191"/>
      <c r="BI24" s="2205"/>
      <c r="BJ24" s="2205"/>
      <c r="BK24" s="2205"/>
      <c r="BL24" s="2205"/>
      <c r="BM24" s="2205"/>
    </row>
    <row r="25" spans="1:65" ht="27">
      <c r="A25" s="2194"/>
      <c r="B25" s="202" t="s">
        <v>407</v>
      </c>
      <c r="C25" s="2194"/>
      <c r="D25" s="2227"/>
      <c r="E25" s="1435"/>
      <c r="F25" s="1908"/>
      <c r="G25" s="155"/>
      <c r="H25" s="148"/>
      <c r="I25" s="1907"/>
      <c r="J25" s="1025"/>
      <c r="K25" s="908"/>
      <c r="L25" s="1908" t="s">
        <v>408</v>
      </c>
      <c r="M25" s="1910"/>
      <c r="O25" s="197"/>
      <c r="P25" s="198"/>
      <c r="Q25" s="199"/>
      <c r="R25" s="2177"/>
      <c r="S25" s="2190"/>
      <c r="T25" s="192"/>
      <c r="U25" s="2181"/>
      <c r="V25" s="200"/>
      <c r="W25" s="32"/>
      <c r="X25" s="2177"/>
      <c r="Y25" s="2178"/>
      <c r="Z25" s="2178"/>
      <c r="AA25" s="2178"/>
      <c r="AB25" s="200"/>
      <c r="AC25" s="2194"/>
      <c r="AD25" s="201"/>
      <c r="AE25" s="196"/>
      <c r="AF25" s="1437"/>
      <c r="AG25" s="152"/>
      <c r="AH25" s="2245"/>
      <c r="AI25" s="2241"/>
      <c r="AJ25" s="276"/>
      <c r="AK25" s="275"/>
      <c r="AL25" s="2194"/>
      <c r="AM25" s="1402" t="s">
        <v>409</v>
      </c>
      <c r="AN25" s="1404"/>
      <c r="AO25" s="1047" t="s">
        <v>410</v>
      </c>
      <c r="AP25" s="1404"/>
      <c r="AQ25" s="166"/>
      <c r="AR25" s="176"/>
      <c r="AS25" s="848"/>
      <c r="AT25" s="173"/>
      <c r="AV25" s="188" t="s">
        <v>396</v>
      </c>
      <c r="AX25" s="2194"/>
      <c r="AY25" s="166"/>
      <c r="AZ25" s="1439"/>
      <c r="BA25" s="848"/>
      <c r="BB25" s="191"/>
      <c r="BD25" s="496"/>
      <c r="BF25" s="168"/>
      <c r="BG25" s="168"/>
      <c r="BH25" s="2191"/>
      <c r="BI25" s="2205"/>
      <c r="BJ25" s="2205"/>
      <c r="BK25" s="2205"/>
      <c r="BL25" s="2205"/>
      <c r="BM25" s="2205"/>
    </row>
    <row r="26" spans="1:65" ht="24" customHeight="1">
      <c r="A26" s="2194"/>
      <c r="C26" s="2194"/>
      <c r="D26" s="2227"/>
      <c r="E26" s="1435"/>
      <c r="F26" s="1908"/>
      <c r="G26" s="155" t="s">
        <v>411</v>
      </c>
      <c r="H26" s="148"/>
      <c r="I26" s="1907"/>
      <c r="J26" s="1025"/>
      <c r="K26" s="908"/>
      <c r="L26" s="1913"/>
      <c r="M26" s="1910"/>
      <c r="O26" s="203"/>
      <c r="P26" s="204"/>
      <c r="Q26" s="205"/>
      <c r="R26" s="1428"/>
      <c r="S26" s="1432"/>
      <c r="T26" s="192"/>
      <c r="U26" s="2181"/>
      <c r="V26" s="200"/>
      <c r="W26" s="32"/>
      <c r="X26" s="2177"/>
      <c r="Y26" s="2178"/>
      <c r="Z26" s="2178"/>
      <c r="AA26" s="2178"/>
      <c r="AB26" s="200"/>
      <c r="AC26" s="2194"/>
      <c r="AD26" s="155"/>
      <c r="AE26" s="196"/>
      <c r="AF26" s="206"/>
      <c r="AG26" s="152"/>
      <c r="AH26" s="2239" t="str">
        <f>CONCATENATE("Se [NOME] não for nacional do país do inquérito ►(",ROUND(AJ4,2),")")</f>
        <v>Se [NOME] não for nacional do país do inquérito ►(1,17)</v>
      </c>
      <c r="AI26" s="2241"/>
      <c r="AJ26" s="276"/>
      <c r="AK26" s="275"/>
      <c r="AL26" s="2194"/>
      <c r="AM26" s="1402" t="s">
        <v>412</v>
      </c>
      <c r="AN26" s="1404"/>
      <c r="AO26" s="1047" t="s">
        <v>413</v>
      </c>
      <c r="AP26" s="1404"/>
      <c r="AQ26" s="166"/>
      <c r="AR26" s="849"/>
      <c r="AS26" s="848"/>
      <c r="AT26" s="173"/>
      <c r="AV26" s="188" t="s">
        <v>400</v>
      </c>
      <c r="AX26" s="2194"/>
      <c r="AY26" s="166"/>
      <c r="AZ26" s="848"/>
      <c r="BA26" s="848"/>
      <c r="BB26" s="31"/>
      <c r="BC26" s="1426"/>
      <c r="BD26" s="496"/>
      <c r="BF26" s="28"/>
      <c r="BG26" s="28"/>
      <c r="BH26" s="2191"/>
      <c r="BI26" s="2205"/>
      <c r="BJ26" s="2205"/>
      <c r="BK26" s="2205"/>
      <c r="BL26" s="2205"/>
      <c r="BM26" s="2205"/>
    </row>
    <row r="27" spans="1:65" ht="20.25" customHeight="1">
      <c r="A27" s="2194"/>
      <c r="B27" s="207"/>
      <c r="C27" s="2194"/>
      <c r="D27" s="2227"/>
      <c r="E27" s="1435"/>
      <c r="F27" s="1908"/>
      <c r="G27" s="155"/>
      <c r="H27" s="148"/>
      <c r="I27" s="1907"/>
      <c r="J27" s="1025"/>
      <c r="K27" s="908"/>
      <c r="L27" s="1913"/>
      <c r="M27" s="1910"/>
      <c r="O27" s="2169" t="s">
        <v>414</v>
      </c>
      <c r="P27" s="2170"/>
      <c r="Q27" s="2171"/>
      <c r="R27" s="1428"/>
      <c r="S27" s="1432"/>
      <c r="T27" s="192"/>
      <c r="U27" s="2181"/>
      <c r="V27" s="200"/>
      <c r="W27" s="32"/>
      <c r="X27" s="2177"/>
      <c r="Y27" s="2178"/>
      <c r="Z27" s="2178"/>
      <c r="AA27" s="2178"/>
      <c r="AB27" s="200"/>
      <c r="AC27" s="2194"/>
      <c r="AD27" s="155"/>
      <c r="AE27" s="196"/>
      <c r="AF27" s="206"/>
      <c r="AG27" s="152"/>
      <c r="AH27" s="2239"/>
      <c r="AI27" s="2241"/>
      <c r="AJ27" s="276"/>
      <c r="AK27" s="275"/>
      <c r="AL27" s="2194"/>
      <c r="AM27" s="1402" t="s">
        <v>415</v>
      </c>
      <c r="AN27" s="1404"/>
      <c r="AO27" s="1047" t="s">
        <v>416</v>
      </c>
      <c r="AP27" s="1404"/>
      <c r="AQ27" s="166"/>
      <c r="AR27" s="849"/>
      <c r="AS27" s="848"/>
      <c r="AT27" s="191"/>
      <c r="AV27" s="28"/>
      <c r="AX27" s="2194"/>
      <c r="AY27" s="166"/>
      <c r="AZ27" s="848"/>
      <c r="BA27" s="848"/>
      <c r="BB27" s="848"/>
      <c r="BC27" s="1426"/>
      <c r="BD27" s="28"/>
      <c r="BF27" s="28"/>
      <c r="BG27" s="28"/>
      <c r="BH27" s="2191"/>
      <c r="BI27" s="2205"/>
      <c r="BJ27" s="2205"/>
      <c r="BK27" s="2205"/>
      <c r="BL27" s="2205"/>
      <c r="BM27" s="2205"/>
    </row>
    <row r="28" spans="1:65" ht="13.5">
      <c r="A28" s="2223"/>
      <c r="B28" s="207"/>
      <c r="C28" s="2224"/>
      <c r="D28" s="2227"/>
      <c r="E28" s="1435"/>
      <c r="F28" s="1908"/>
      <c r="G28" s="213"/>
      <c r="H28" s="1909"/>
      <c r="I28" s="1907"/>
      <c r="J28" s="1020"/>
      <c r="K28" s="1021"/>
      <c r="L28" s="1913"/>
      <c r="M28" s="1910"/>
      <c r="N28" s="208"/>
      <c r="O28" s="1429">
        <v>98</v>
      </c>
      <c r="P28" s="1429">
        <v>98</v>
      </c>
      <c r="Q28" s="209">
        <v>9998</v>
      </c>
      <c r="R28" s="1428"/>
      <c r="S28" s="1432"/>
      <c r="T28" s="210"/>
      <c r="U28" s="2182"/>
      <c r="V28" s="211"/>
      <c r="W28" s="212"/>
      <c r="X28" s="2179"/>
      <c r="Y28" s="2180"/>
      <c r="Z28" s="2180"/>
      <c r="AA28" s="2180"/>
      <c r="AB28" s="211"/>
      <c r="AC28" s="2194"/>
      <c r="AD28" s="213"/>
      <c r="AE28" s="214"/>
      <c r="AF28" s="206"/>
      <c r="AG28" s="197"/>
      <c r="AH28" s="2240"/>
      <c r="AI28" s="2242"/>
      <c r="AJ28" s="277"/>
      <c r="AK28" s="278"/>
      <c r="AL28" s="2194"/>
      <c r="AM28" s="1402" t="s">
        <v>417</v>
      </c>
      <c r="AN28" s="1404"/>
      <c r="AO28" s="1406"/>
      <c r="AP28" s="1404"/>
      <c r="AQ28" s="166"/>
      <c r="AR28" s="849"/>
      <c r="AS28" s="848"/>
      <c r="AT28" s="216"/>
      <c r="AU28" s="216"/>
      <c r="AV28" s="217"/>
      <c r="AW28" s="28"/>
      <c r="AX28" s="2194"/>
      <c r="AY28" s="218"/>
      <c r="AZ28" s="216"/>
      <c r="BA28" s="848"/>
      <c r="BB28" s="848"/>
      <c r="BC28" s="1915"/>
      <c r="BD28" s="217"/>
      <c r="BE28" s="29"/>
      <c r="BF28" s="28"/>
      <c r="BG28" s="28"/>
      <c r="BH28" s="2222"/>
      <c r="BI28" s="2206"/>
      <c r="BJ28" s="2206"/>
      <c r="BK28" s="2206"/>
      <c r="BL28" s="2206"/>
      <c r="BM28" s="2206"/>
    </row>
    <row r="29" spans="1:65" ht="13.5">
      <c r="A29" s="2223"/>
      <c r="B29" s="207"/>
      <c r="C29" s="2224"/>
      <c r="D29" s="2227"/>
      <c r="E29" s="1431"/>
      <c r="F29" s="723"/>
      <c r="G29" s="1911">
        <v>98</v>
      </c>
      <c r="H29" s="1911">
        <v>9998</v>
      </c>
      <c r="I29" s="724"/>
      <c r="J29" s="700">
        <v>98</v>
      </c>
      <c r="K29" s="701">
        <v>9998</v>
      </c>
      <c r="L29" s="722" t="str">
        <f>CONCATENATE("►►(",TEXT(M4,"0,00"),")")</f>
        <v>►►(1,01)</v>
      </c>
      <c r="M29" s="148"/>
      <c r="N29" s="208"/>
      <c r="O29" s="715"/>
      <c r="P29" s="715"/>
      <c r="Q29" s="716"/>
      <c r="R29" s="1428"/>
      <c r="S29" s="1432"/>
      <c r="T29" s="434"/>
      <c r="U29" s="1427"/>
      <c r="V29" s="200"/>
      <c r="W29" s="605"/>
      <c r="X29" s="1428"/>
      <c r="Y29" s="1432"/>
      <c r="Z29" s="1432"/>
      <c r="AA29" s="1432"/>
      <c r="AB29" s="200"/>
      <c r="AC29" s="2194"/>
      <c r="AD29" s="155"/>
      <c r="AE29" s="196"/>
      <c r="AF29" s="206"/>
      <c r="AG29" s="197"/>
      <c r="AH29" s="1433"/>
      <c r="AI29" s="1430"/>
      <c r="AJ29" s="276"/>
      <c r="AK29" s="275"/>
      <c r="AL29" s="2223"/>
      <c r="AM29" s="1406" t="s">
        <v>418</v>
      </c>
      <c r="AN29" s="1404"/>
      <c r="AO29" s="1047"/>
      <c r="AP29" s="1404"/>
      <c r="AQ29" s="166"/>
      <c r="AR29" s="849"/>
      <c r="AS29" s="848"/>
      <c r="AT29" s="848"/>
      <c r="AU29" s="848"/>
      <c r="AV29" s="28"/>
      <c r="AW29" s="28"/>
      <c r="AX29" s="2194"/>
      <c r="AY29" s="717"/>
      <c r="AZ29" s="848"/>
      <c r="BA29" s="848"/>
      <c r="BB29" s="848"/>
      <c r="BC29" s="1426"/>
      <c r="BD29" s="28"/>
      <c r="BE29" s="28"/>
      <c r="BF29" s="28"/>
      <c r="BG29" s="28"/>
      <c r="BH29" s="117"/>
      <c r="BI29" s="718"/>
      <c r="BJ29" s="719"/>
      <c r="BK29" s="719"/>
      <c r="BL29" s="719"/>
      <c r="BM29" s="720"/>
    </row>
    <row r="30" spans="1:65" ht="14.25" thickBot="1">
      <c r="A30" s="2195"/>
      <c r="B30" s="1014" t="s">
        <v>419</v>
      </c>
      <c r="C30" s="2195"/>
      <c r="D30" s="2228"/>
      <c r="E30" s="1028" t="s">
        <v>420</v>
      </c>
      <c r="F30" s="1028" t="s">
        <v>420</v>
      </c>
      <c r="G30" s="1029" t="s">
        <v>421</v>
      </c>
      <c r="H30" s="1030" t="s">
        <v>422</v>
      </c>
      <c r="I30" s="1028" t="s">
        <v>420</v>
      </c>
      <c r="J30" s="1029" t="s">
        <v>421</v>
      </c>
      <c r="K30" s="1030" t="s">
        <v>422</v>
      </c>
      <c r="L30" s="219" t="s">
        <v>420</v>
      </c>
      <c r="M30" s="219" t="s">
        <v>420</v>
      </c>
      <c r="N30" s="220" t="s">
        <v>420</v>
      </c>
      <c r="O30" s="221" t="s">
        <v>423</v>
      </c>
      <c r="P30" s="221" t="s">
        <v>421</v>
      </c>
      <c r="Q30" s="222" t="s">
        <v>422</v>
      </c>
      <c r="R30" s="221" t="s">
        <v>424</v>
      </c>
      <c r="S30" s="221" t="s">
        <v>421</v>
      </c>
      <c r="T30" s="221" t="s">
        <v>420</v>
      </c>
      <c r="U30" s="221" t="s">
        <v>420</v>
      </c>
      <c r="V30" s="223" t="s">
        <v>420</v>
      </c>
      <c r="W30" s="224" t="s">
        <v>420</v>
      </c>
      <c r="X30" s="223" t="s">
        <v>425</v>
      </c>
      <c r="Y30" s="223" t="s">
        <v>425</v>
      </c>
      <c r="Z30" s="223" t="s">
        <v>425</v>
      </c>
      <c r="AA30" s="223" t="s">
        <v>425</v>
      </c>
      <c r="AB30" s="223" t="s">
        <v>424</v>
      </c>
      <c r="AC30" s="2195"/>
      <c r="AD30" s="225" t="s">
        <v>420</v>
      </c>
      <c r="AE30" s="226" t="s">
        <v>420</v>
      </c>
      <c r="AF30" s="227" t="s">
        <v>420</v>
      </c>
      <c r="AG30" s="1444" t="s">
        <v>420</v>
      </c>
      <c r="AH30" s="228" t="s">
        <v>420</v>
      </c>
      <c r="AI30" s="223" t="s">
        <v>420</v>
      </c>
      <c r="AJ30" s="228" t="s">
        <v>420</v>
      </c>
      <c r="AK30" s="228" t="s">
        <v>420</v>
      </c>
      <c r="AL30" s="2195"/>
      <c r="AM30" s="808" t="s">
        <v>420</v>
      </c>
      <c r="AN30" s="1030" t="s">
        <v>426</v>
      </c>
      <c r="AO30" s="808" t="s">
        <v>420</v>
      </c>
      <c r="AP30" s="1030" t="s">
        <v>426</v>
      </c>
      <c r="AQ30" s="222" t="s">
        <v>427</v>
      </c>
      <c r="AR30" s="219" t="s">
        <v>187</v>
      </c>
      <c r="AS30" s="222" t="s">
        <v>427</v>
      </c>
      <c r="AT30" s="222" t="s">
        <v>427</v>
      </c>
      <c r="AU30" s="222" t="s">
        <v>427</v>
      </c>
      <c r="AV30" s="228" t="s">
        <v>420</v>
      </c>
      <c r="AW30" s="229" t="s">
        <v>420</v>
      </c>
      <c r="AX30" s="2195"/>
      <c r="AY30" s="221" t="s">
        <v>427</v>
      </c>
      <c r="AZ30" s="230" t="s">
        <v>187</v>
      </c>
      <c r="BA30" s="222" t="s">
        <v>427</v>
      </c>
      <c r="BB30" s="222" t="s">
        <v>427</v>
      </c>
      <c r="BC30" s="221" t="s">
        <v>427</v>
      </c>
      <c r="BD30" s="228" t="s">
        <v>420</v>
      </c>
      <c r="BE30" s="228" t="s">
        <v>420</v>
      </c>
      <c r="BF30" s="228" t="s">
        <v>420</v>
      </c>
      <c r="BG30" s="228" t="s">
        <v>420</v>
      </c>
      <c r="BH30" s="228" t="s">
        <v>428</v>
      </c>
      <c r="BI30" s="2201" t="s">
        <v>420</v>
      </c>
      <c r="BJ30" s="2202"/>
      <c r="BK30" s="2202"/>
      <c r="BL30" s="2202"/>
      <c r="BM30" s="2203"/>
    </row>
    <row r="31" spans="1:65" ht="15" thickTop="1" thickBot="1">
      <c r="A31" s="231">
        <v>1</v>
      </c>
      <c r="B31" s="232"/>
      <c r="C31" s="231">
        <v>1</v>
      </c>
      <c r="D31" s="233"/>
      <c r="E31" s="721"/>
      <c r="F31" s="721"/>
      <c r="G31" s="721"/>
      <c r="H31" s="721"/>
      <c r="I31" s="721"/>
      <c r="J31" s="707"/>
      <c r="K31" s="707"/>
      <c r="L31" s="702"/>
      <c r="M31" s="702"/>
      <c r="N31" s="702"/>
      <c r="O31" s="236"/>
      <c r="P31" s="236"/>
      <c r="Q31" s="236"/>
      <c r="R31" s="236"/>
      <c r="S31" s="236"/>
      <c r="T31" s="236"/>
      <c r="U31" s="236"/>
      <c r="V31" s="237"/>
      <c r="W31" s="237"/>
      <c r="X31" s="237"/>
      <c r="Y31" s="237"/>
      <c r="Z31" s="237"/>
      <c r="AA31" s="237"/>
      <c r="AB31" s="237"/>
      <c r="AC31" s="231">
        <v>1</v>
      </c>
      <c r="AD31" s="235"/>
      <c r="AE31" s="238"/>
      <c r="AF31" s="236"/>
      <c r="AG31" s="236"/>
      <c r="AH31" s="236"/>
      <c r="AI31" s="236"/>
      <c r="AJ31" s="236"/>
      <c r="AK31" s="236"/>
      <c r="AL31" s="231">
        <v>1</v>
      </c>
      <c r="AM31" s="707"/>
      <c r="AN31" s="707"/>
      <c r="AO31" s="707"/>
      <c r="AP31" s="725"/>
      <c r="AQ31" s="236"/>
      <c r="AR31" s="239"/>
      <c r="AS31" s="236"/>
      <c r="AT31" s="236"/>
      <c r="AU31" s="236"/>
      <c r="AV31" s="236"/>
      <c r="AW31" s="236"/>
      <c r="AX31" s="231">
        <v>1</v>
      </c>
      <c r="AY31" s="236"/>
      <c r="AZ31" s="240"/>
      <c r="BA31" s="236"/>
      <c r="BB31" s="236"/>
      <c r="BC31" s="238"/>
      <c r="BD31" s="236"/>
      <c r="BE31" s="236"/>
      <c r="BF31" s="236"/>
      <c r="BG31" s="236"/>
      <c r="BH31" s="236"/>
      <c r="BI31" s="236"/>
      <c r="BJ31" s="236"/>
      <c r="BK31" s="236"/>
      <c r="BL31" s="236"/>
      <c r="BM31" s="236"/>
    </row>
    <row r="32" spans="1:65" ht="16.5" thickTop="1" thickBot="1">
      <c r="A32" s="241">
        <v>2</v>
      </c>
      <c r="B32" s="242"/>
      <c r="C32" s="241">
        <v>2</v>
      </c>
      <c r="D32" s="243"/>
      <c r="E32" s="721"/>
      <c r="F32" s="721"/>
      <c r="G32" s="721"/>
      <c r="H32" s="721"/>
      <c r="I32" s="721"/>
      <c r="J32" s="707"/>
      <c r="K32" s="707"/>
      <c r="L32" s="702"/>
      <c r="M32" s="702"/>
      <c r="N32" s="702"/>
      <c r="O32" s="245"/>
      <c r="P32" s="245"/>
      <c r="Q32" s="245"/>
      <c r="R32" s="245"/>
      <c r="S32" s="245"/>
      <c r="T32" s="245"/>
      <c r="U32" s="245"/>
      <c r="V32" s="245"/>
      <c r="W32" s="245"/>
      <c r="X32" s="245"/>
      <c r="Y32" s="245"/>
      <c r="Z32" s="245"/>
      <c r="AA32" s="245"/>
      <c r="AB32" s="245"/>
      <c r="AC32" s="241">
        <v>2</v>
      </c>
      <c r="AD32" s="244"/>
      <c r="AE32" s="245"/>
      <c r="AF32" s="245"/>
      <c r="AG32" s="245"/>
      <c r="AH32" s="246"/>
      <c r="AI32" s="245"/>
      <c r="AJ32" s="246"/>
      <c r="AK32" s="246"/>
      <c r="AL32" s="241">
        <v>2</v>
      </c>
      <c r="AM32" s="833"/>
      <c r="AN32" s="1032"/>
      <c r="AO32" s="833"/>
      <c r="AP32" s="1407"/>
      <c r="AQ32" s="245"/>
      <c r="AR32" s="247"/>
      <c r="AS32" s="245"/>
      <c r="AT32" s="245"/>
      <c r="AU32" s="245"/>
      <c r="AV32" s="246"/>
      <c r="AW32" s="246"/>
      <c r="AX32" s="241">
        <v>2</v>
      </c>
      <c r="AY32" s="245"/>
      <c r="AZ32" s="240"/>
      <c r="BA32" s="245"/>
      <c r="BB32" s="245"/>
      <c r="BC32" s="248"/>
      <c r="BD32" s="246"/>
      <c r="BE32" s="246"/>
      <c r="BF32" s="246"/>
      <c r="BG32" s="246"/>
      <c r="BH32" s="246"/>
      <c r="BI32" s="246"/>
      <c r="BJ32" s="246"/>
      <c r="BK32" s="246"/>
      <c r="BL32" s="246"/>
      <c r="BM32" s="246"/>
    </row>
    <row r="33" spans="1:65" ht="16.5" thickTop="1" thickBot="1">
      <c r="A33" s="249">
        <v>3</v>
      </c>
      <c r="B33" s="250"/>
      <c r="C33" s="249">
        <v>3</v>
      </c>
      <c r="D33" s="251"/>
      <c r="E33" s="721"/>
      <c r="F33" s="721"/>
      <c r="G33" s="721"/>
      <c r="H33" s="721"/>
      <c r="I33" s="721"/>
      <c r="J33" s="707"/>
      <c r="K33" s="707"/>
      <c r="L33" s="702"/>
      <c r="M33" s="702"/>
      <c r="N33" s="702"/>
      <c r="O33" s="130"/>
      <c r="P33" s="130"/>
      <c r="Q33" s="130"/>
      <c r="R33" s="130"/>
      <c r="S33" s="130"/>
      <c r="T33" s="130"/>
      <c r="U33" s="130"/>
      <c r="V33" s="130"/>
      <c r="W33" s="130"/>
      <c r="X33" s="130"/>
      <c r="Y33" s="130"/>
      <c r="Z33" s="130"/>
      <c r="AA33" s="130"/>
      <c r="AB33" s="130"/>
      <c r="AC33" s="249">
        <v>3</v>
      </c>
      <c r="AD33" s="253"/>
      <c r="AE33" s="130"/>
      <c r="AF33" s="130"/>
      <c r="AG33" s="130"/>
      <c r="AH33" s="667"/>
      <c r="AI33" s="130"/>
      <c r="AJ33" s="666"/>
      <c r="AK33" s="254"/>
      <c r="AL33" s="249">
        <v>3</v>
      </c>
      <c r="AM33" s="836"/>
      <c r="AN33" s="710"/>
      <c r="AO33" s="836"/>
      <c r="AP33" s="726"/>
      <c r="AQ33" s="130"/>
      <c r="AR33" s="129"/>
      <c r="AS33" s="130"/>
      <c r="AT33" s="130"/>
      <c r="AU33" s="130"/>
      <c r="AV33" s="254"/>
      <c r="AW33" s="254"/>
      <c r="AX33" s="249">
        <v>3</v>
      </c>
      <c r="AY33" s="130"/>
      <c r="AZ33" s="255"/>
      <c r="BA33" s="130"/>
      <c r="BB33" s="130"/>
      <c r="BC33" s="256"/>
      <c r="BD33" s="254"/>
      <c r="BE33" s="254"/>
      <c r="BF33" s="254"/>
      <c r="BG33" s="254"/>
      <c r="BH33" s="254"/>
      <c r="BI33" s="254"/>
      <c r="BJ33" s="254"/>
      <c r="BK33" s="254"/>
      <c r="BL33" s="254"/>
      <c r="BM33" s="254"/>
    </row>
    <row r="34" spans="1:65" ht="17.25" thickTop="1" thickBot="1">
      <c r="A34" s="249">
        <v>4</v>
      </c>
      <c r="B34" s="426"/>
      <c r="C34" s="249">
        <v>4</v>
      </c>
      <c r="D34" s="251"/>
      <c r="E34" s="721"/>
      <c r="F34" s="721"/>
      <c r="G34" s="721"/>
      <c r="H34" s="721"/>
      <c r="I34" s="721"/>
      <c r="J34" s="707"/>
      <c r="K34" s="707"/>
      <c r="L34" s="702"/>
      <c r="M34" s="702"/>
      <c r="N34" s="702"/>
      <c r="O34" s="130"/>
      <c r="P34" s="130"/>
      <c r="Q34" s="130"/>
      <c r="R34" s="130"/>
      <c r="S34" s="130"/>
      <c r="T34" s="130"/>
      <c r="U34" s="130"/>
      <c r="V34" s="130"/>
      <c r="W34" s="130"/>
      <c r="X34" s="130"/>
      <c r="Y34" s="130"/>
      <c r="Z34" s="130"/>
      <c r="AA34" s="130"/>
      <c r="AB34" s="130"/>
      <c r="AC34" s="249">
        <v>4</v>
      </c>
      <c r="AD34" s="253"/>
      <c r="AE34" s="130"/>
      <c r="AF34" s="130"/>
      <c r="AG34" s="130"/>
      <c r="AH34" s="254"/>
      <c r="AI34" s="130"/>
      <c r="AJ34" s="254"/>
      <c r="AK34" s="254"/>
      <c r="AL34" s="249">
        <v>4</v>
      </c>
      <c r="AM34" s="836"/>
      <c r="AN34" s="710"/>
      <c r="AO34" s="836"/>
      <c r="AP34" s="726"/>
      <c r="AQ34" s="130"/>
      <c r="AR34" s="129"/>
      <c r="AS34" s="130"/>
      <c r="AT34" s="130"/>
      <c r="AU34" s="130"/>
      <c r="AV34" s="254"/>
      <c r="AW34" s="254"/>
      <c r="AX34" s="249">
        <v>4</v>
      </c>
      <c r="AY34" s="130"/>
      <c r="AZ34" s="255"/>
      <c r="BA34" s="130"/>
      <c r="BB34" s="130"/>
      <c r="BC34" s="256"/>
      <c r="BD34" s="254"/>
      <c r="BE34" s="254"/>
      <c r="BF34" s="254"/>
      <c r="BG34" s="254"/>
      <c r="BH34" s="254"/>
      <c r="BI34" s="254"/>
      <c r="BJ34" s="254"/>
      <c r="BK34" s="254"/>
      <c r="BL34" s="254"/>
      <c r="BM34" s="254"/>
    </row>
    <row r="35" spans="1:65" ht="16.5" thickTop="1" thickBot="1">
      <c r="A35" s="257">
        <v>5</v>
      </c>
      <c r="B35" s="258"/>
      <c r="C35" s="257">
        <v>5</v>
      </c>
      <c r="D35" s="259"/>
      <c r="E35" s="770"/>
      <c r="F35" s="770"/>
      <c r="G35" s="770"/>
      <c r="H35" s="770"/>
      <c r="I35" s="770"/>
      <c r="J35" s="707"/>
      <c r="K35" s="707"/>
      <c r="L35" s="702"/>
      <c r="M35" s="702"/>
      <c r="N35" s="702"/>
      <c r="O35" s="132"/>
      <c r="P35" s="132"/>
      <c r="Q35" s="132"/>
      <c r="R35" s="132"/>
      <c r="S35" s="132"/>
      <c r="T35" s="132"/>
      <c r="U35" s="132"/>
      <c r="V35" s="132"/>
      <c r="W35" s="132"/>
      <c r="X35" s="132"/>
      <c r="Y35" s="132"/>
      <c r="Z35" s="132"/>
      <c r="AA35" s="132"/>
      <c r="AB35" s="132"/>
      <c r="AC35" s="257">
        <v>5</v>
      </c>
      <c r="AD35" s="260"/>
      <c r="AE35" s="132"/>
      <c r="AF35" s="132"/>
      <c r="AG35" s="132"/>
      <c r="AH35" s="261"/>
      <c r="AI35" s="132"/>
      <c r="AJ35" s="261"/>
      <c r="AK35" s="261"/>
      <c r="AL35" s="257">
        <v>5</v>
      </c>
      <c r="AM35" s="1408"/>
      <c r="AN35" s="713"/>
      <c r="AO35" s="1408"/>
      <c r="AP35" s="727"/>
      <c r="AQ35" s="132"/>
      <c r="AR35" s="131"/>
      <c r="AS35" s="132"/>
      <c r="AT35" s="132"/>
      <c r="AU35" s="132"/>
      <c r="AV35" s="261"/>
      <c r="AW35" s="261"/>
      <c r="AX35" s="257">
        <v>5</v>
      </c>
      <c r="AY35" s="132"/>
      <c r="AZ35" s="262"/>
      <c r="BA35" s="132"/>
      <c r="BB35" s="132"/>
      <c r="BC35" s="263"/>
      <c r="BD35" s="261"/>
      <c r="BE35" s="261"/>
      <c r="BF35" s="261"/>
      <c r="BG35" s="261"/>
      <c r="BH35" s="261"/>
      <c r="BI35" s="261"/>
      <c r="BJ35" s="261"/>
      <c r="BK35" s="261"/>
      <c r="BL35" s="261"/>
      <c r="BM35" s="261"/>
    </row>
    <row r="36" spans="1:65" thickTop="1">
      <c r="A36" s="231">
        <v>6</v>
      </c>
      <c r="B36" s="264"/>
      <c r="C36" s="231">
        <v>6</v>
      </c>
      <c r="D36" s="233"/>
      <c r="E36" s="1031"/>
      <c r="F36" s="1031"/>
      <c r="G36" s="1032"/>
      <c r="H36" s="1032"/>
      <c r="I36" s="1033"/>
      <c r="J36" s="707"/>
      <c r="K36" s="707"/>
      <c r="L36" s="702"/>
      <c r="M36" s="702"/>
      <c r="N36" s="702"/>
      <c r="O36" s="236"/>
      <c r="P36" s="236"/>
      <c r="Q36" s="236"/>
      <c r="R36" s="236"/>
      <c r="S36" s="236"/>
      <c r="T36" s="236"/>
      <c r="U36" s="236"/>
      <c r="V36" s="237"/>
      <c r="W36" s="237"/>
      <c r="X36" s="237"/>
      <c r="Y36" s="237"/>
      <c r="Z36" s="237"/>
      <c r="AA36" s="237"/>
      <c r="AB36" s="237"/>
      <c r="AC36" s="231">
        <v>6</v>
      </c>
      <c r="AD36" s="236"/>
      <c r="AE36" s="236"/>
      <c r="AF36" s="236"/>
      <c r="AG36" s="236"/>
      <c r="AH36" s="265"/>
      <c r="AI36" s="236"/>
      <c r="AJ36" s="265"/>
      <c r="AK36" s="265"/>
      <c r="AL36" s="231">
        <v>6</v>
      </c>
      <c r="AM36" s="1409"/>
      <c r="AN36" s="707"/>
      <c r="AO36" s="1409"/>
      <c r="AP36" s="725"/>
      <c r="AQ36" s="236"/>
      <c r="AR36" s="239"/>
      <c r="AS36" s="236"/>
      <c r="AT36" s="236"/>
      <c r="AU36" s="236"/>
      <c r="AV36" s="265"/>
      <c r="AW36" s="265"/>
      <c r="AX36" s="231">
        <v>6</v>
      </c>
      <c r="AY36" s="236"/>
      <c r="AZ36" s="266"/>
      <c r="BA36" s="236"/>
      <c r="BB36" s="236"/>
      <c r="BC36" s="238"/>
      <c r="BD36" s="265"/>
      <c r="BE36" s="265"/>
      <c r="BF36" s="265"/>
      <c r="BG36" s="265"/>
      <c r="BH36" s="265"/>
      <c r="BI36" s="265"/>
      <c r="BJ36" s="265"/>
      <c r="BK36" s="265"/>
      <c r="BL36" s="265"/>
      <c r="BM36" s="265"/>
    </row>
    <row r="37" spans="1:65" ht="15">
      <c r="A37" s="249">
        <v>7</v>
      </c>
      <c r="B37" s="267"/>
      <c r="C37" s="249">
        <v>7</v>
      </c>
      <c r="D37" s="251"/>
      <c r="E37" s="1031"/>
      <c r="F37" s="1031"/>
      <c r="G37" s="1032"/>
      <c r="H37" s="1032"/>
      <c r="I37" s="1033"/>
      <c r="J37" s="1032"/>
      <c r="K37" s="1032"/>
      <c r="L37" s="703"/>
      <c r="M37" s="129"/>
      <c r="N37" s="130"/>
      <c r="O37" s="130"/>
      <c r="P37" s="130"/>
      <c r="Q37" s="130"/>
      <c r="R37" s="130"/>
      <c r="S37" s="130"/>
      <c r="T37" s="130"/>
      <c r="U37" s="130"/>
      <c r="V37" s="130"/>
      <c r="W37" s="130"/>
      <c r="X37" s="130"/>
      <c r="Y37" s="130"/>
      <c r="Z37" s="130"/>
      <c r="AA37" s="130"/>
      <c r="AB37" s="130"/>
      <c r="AC37" s="249">
        <v>7</v>
      </c>
      <c r="AD37" s="130"/>
      <c r="AE37" s="130"/>
      <c r="AF37" s="130"/>
      <c r="AG37" s="130"/>
      <c r="AH37" s="254"/>
      <c r="AI37" s="130"/>
      <c r="AJ37" s="254"/>
      <c r="AK37" s="254"/>
      <c r="AL37" s="249">
        <v>7</v>
      </c>
      <c r="AM37" s="836"/>
      <c r="AN37" s="710"/>
      <c r="AO37" s="836"/>
      <c r="AP37" s="726"/>
      <c r="AQ37" s="130"/>
      <c r="AR37" s="129"/>
      <c r="AS37" s="130"/>
      <c r="AT37" s="130"/>
      <c r="AU37" s="130"/>
      <c r="AV37" s="254"/>
      <c r="AW37" s="254"/>
      <c r="AX37" s="249">
        <v>7</v>
      </c>
      <c r="AY37" s="130"/>
      <c r="AZ37" s="255"/>
      <c r="BA37" s="130"/>
      <c r="BB37" s="130"/>
      <c r="BC37" s="256"/>
      <c r="BD37" s="254"/>
      <c r="BE37" s="254"/>
      <c r="BF37" s="254"/>
      <c r="BG37" s="254"/>
      <c r="BH37" s="254"/>
      <c r="BI37" s="254"/>
      <c r="BJ37" s="254"/>
      <c r="BK37" s="254"/>
      <c r="BL37" s="254"/>
      <c r="BM37" s="254"/>
    </row>
    <row r="38" spans="1:65" ht="15">
      <c r="A38" s="249">
        <v>8</v>
      </c>
      <c r="B38" s="267"/>
      <c r="C38" s="249">
        <v>8</v>
      </c>
      <c r="D38" s="251"/>
      <c r="E38" s="709"/>
      <c r="F38" s="709"/>
      <c r="G38" s="710"/>
      <c r="H38" s="710"/>
      <c r="I38" s="711"/>
      <c r="J38" s="710"/>
      <c r="K38" s="710"/>
      <c r="L38" s="704"/>
      <c r="M38" s="129"/>
      <c r="N38" s="130"/>
      <c r="O38" s="130"/>
      <c r="P38" s="130"/>
      <c r="Q38" s="130"/>
      <c r="R38" s="130"/>
      <c r="S38" s="130"/>
      <c r="T38" s="130"/>
      <c r="U38" s="130"/>
      <c r="V38" s="130"/>
      <c r="W38" s="130"/>
      <c r="X38" s="130"/>
      <c r="Y38" s="130"/>
      <c r="Z38" s="130"/>
      <c r="AA38" s="130"/>
      <c r="AB38" s="130"/>
      <c r="AC38" s="249">
        <v>8</v>
      </c>
      <c r="AD38" s="130"/>
      <c r="AE38" s="130"/>
      <c r="AF38" s="130"/>
      <c r="AG38" s="130"/>
      <c r="AH38" s="254"/>
      <c r="AI38" s="130"/>
      <c r="AJ38" s="254"/>
      <c r="AK38" s="254"/>
      <c r="AL38" s="249">
        <v>8</v>
      </c>
      <c r="AM38" s="836"/>
      <c r="AN38" s="710"/>
      <c r="AO38" s="836"/>
      <c r="AP38" s="726"/>
      <c r="AQ38" s="130"/>
      <c r="AR38" s="129"/>
      <c r="AS38" s="130"/>
      <c r="AT38" s="130"/>
      <c r="AU38" s="130"/>
      <c r="AV38" s="254"/>
      <c r="AW38" s="254"/>
      <c r="AX38" s="249">
        <v>8</v>
      </c>
      <c r="AY38" s="130"/>
      <c r="AZ38" s="255"/>
      <c r="BA38" s="130"/>
      <c r="BB38" s="130"/>
      <c r="BC38" s="256"/>
      <c r="BD38" s="254"/>
      <c r="BE38" s="254"/>
      <c r="BF38" s="254"/>
      <c r="BG38" s="254"/>
      <c r="BH38" s="254"/>
      <c r="BI38" s="254"/>
      <c r="BJ38" s="254"/>
      <c r="BK38" s="254"/>
      <c r="BL38" s="254"/>
      <c r="BM38" s="254"/>
    </row>
    <row r="39" spans="1:65" ht="15">
      <c r="A39" s="249">
        <v>9</v>
      </c>
      <c r="B39" s="267"/>
      <c r="C39" s="249">
        <v>9</v>
      </c>
      <c r="D39" s="251"/>
      <c r="E39" s="709"/>
      <c r="F39" s="709"/>
      <c r="G39" s="710"/>
      <c r="H39" s="710"/>
      <c r="I39" s="711"/>
      <c r="J39" s="710"/>
      <c r="K39" s="710"/>
      <c r="L39" s="704"/>
      <c r="M39" s="129"/>
      <c r="N39" s="130"/>
      <c r="O39" s="130"/>
      <c r="P39" s="130"/>
      <c r="Q39" s="130"/>
      <c r="R39" s="130"/>
      <c r="S39" s="130"/>
      <c r="T39" s="130"/>
      <c r="U39" s="130"/>
      <c r="V39" s="130"/>
      <c r="W39" s="130"/>
      <c r="X39" s="130"/>
      <c r="Y39" s="130"/>
      <c r="Z39" s="130"/>
      <c r="AA39" s="130"/>
      <c r="AB39" s="130"/>
      <c r="AC39" s="249">
        <v>9</v>
      </c>
      <c r="AD39" s="130"/>
      <c r="AE39" s="130"/>
      <c r="AF39" s="130"/>
      <c r="AG39" s="130"/>
      <c r="AH39" s="254"/>
      <c r="AI39" s="130"/>
      <c r="AJ39" s="254"/>
      <c r="AK39" s="254"/>
      <c r="AL39" s="249">
        <v>9</v>
      </c>
      <c r="AM39" s="836"/>
      <c r="AN39" s="710"/>
      <c r="AO39" s="836"/>
      <c r="AP39" s="726"/>
      <c r="AQ39" s="130"/>
      <c r="AR39" s="129"/>
      <c r="AS39" s="130"/>
      <c r="AT39" s="130"/>
      <c r="AU39" s="130"/>
      <c r="AV39" s="254"/>
      <c r="AW39" s="254"/>
      <c r="AX39" s="249">
        <v>9</v>
      </c>
      <c r="AY39" s="130"/>
      <c r="AZ39" s="255"/>
      <c r="BA39" s="130"/>
      <c r="BB39" s="130"/>
      <c r="BC39" s="256"/>
      <c r="BD39" s="254"/>
      <c r="BE39" s="254"/>
      <c r="BF39" s="254"/>
      <c r="BG39" s="254"/>
      <c r="BH39" s="254"/>
      <c r="BI39" s="254"/>
      <c r="BJ39" s="254"/>
      <c r="BK39" s="254"/>
      <c r="BL39" s="254"/>
      <c r="BM39" s="254"/>
    </row>
    <row r="40" spans="1:65" thickBot="1">
      <c r="A40" s="257">
        <v>10</v>
      </c>
      <c r="B40" s="268"/>
      <c r="C40" s="257">
        <v>10</v>
      </c>
      <c r="D40" s="259"/>
      <c r="E40" s="712"/>
      <c r="F40" s="712"/>
      <c r="G40" s="713"/>
      <c r="H40" s="713"/>
      <c r="I40" s="714"/>
      <c r="J40" s="713"/>
      <c r="K40" s="713"/>
      <c r="L40" s="705"/>
      <c r="M40" s="131"/>
      <c r="N40" s="132"/>
      <c r="O40" s="132"/>
      <c r="P40" s="132"/>
      <c r="Q40" s="132"/>
      <c r="R40" s="132"/>
      <c r="S40" s="132"/>
      <c r="T40" s="132"/>
      <c r="U40" s="132"/>
      <c r="V40" s="132"/>
      <c r="W40" s="132"/>
      <c r="X40" s="132"/>
      <c r="Y40" s="132"/>
      <c r="Z40" s="132"/>
      <c r="AA40" s="132"/>
      <c r="AB40" s="132"/>
      <c r="AC40" s="257">
        <v>10</v>
      </c>
      <c r="AD40" s="132"/>
      <c r="AE40" s="132"/>
      <c r="AF40" s="132"/>
      <c r="AG40" s="132"/>
      <c r="AH40" s="261"/>
      <c r="AI40" s="132"/>
      <c r="AJ40" s="261"/>
      <c r="AK40" s="261"/>
      <c r="AL40" s="257">
        <v>10</v>
      </c>
      <c r="AM40" s="1408"/>
      <c r="AN40" s="713"/>
      <c r="AO40" s="1408"/>
      <c r="AP40" s="727"/>
      <c r="AQ40" s="132"/>
      <c r="AR40" s="131"/>
      <c r="AS40" s="132"/>
      <c r="AT40" s="132"/>
      <c r="AU40" s="132"/>
      <c r="AV40" s="261"/>
      <c r="AW40" s="261"/>
      <c r="AX40" s="257">
        <v>10</v>
      </c>
      <c r="AY40" s="132"/>
      <c r="AZ40" s="262"/>
      <c r="BA40" s="132"/>
      <c r="BB40" s="132"/>
      <c r="BC40" s="263"/>
      <c r="BD40" s="261"/>
      <c r="BE40" s="261"/>
      <c r="BF40" s="261"/>
      <c r="BG40" s="261"/>
      <c r="BH40" s="261"/>
      <c r="BI40" s="261"/>
      <c r="BJ40" s="261"/>
      <c r="BK40" s="261"/>
      <c r="BL40" s="261"/>
      <c r="BM40" s="261"/>
    </row>
    <row r="41" spans="1:65" thickTop="1">
      <c r="A41" s="231">
        <v>11</v>
      </c>
      <c r="B41" s="232"/>
      <c r="C41" s="231">
        <v>11</v>
      </c>
      <c r="D41" s="233"/>
      <c r="E41" s="706"/>
      <c r="F41" s="706"/>
      <c r="G41" s="707"/>
      <c r="H41" s="707"/>
      <c r="I41" s="708"/>
      <c r="J41" s="707"/>
      <c r="K41" s="707"/>
      <c r="L41" s="706"/>
      <c r="M41" s="234"/>
      <c r="N41" s="235"/>
      <c r="O41" s="236"/>
      <c r="P41" s="236"/>
      <c r="Q41" s="236"/>
      <c r="R41" s="236"/>
      <c r="S41" s="236"/>
      <c r="T41" s="236"/>
      <c r="U41" s="236"/>
      <c r="V41" s="237"/>
      <c r="W41" s="237"/>
      <c r="X41" s="237"/>
      <c r="Y41" s="237"/>
      <c r="Z41" s="237"/>
      <c r="AA41" s="237"/>
      <c r="AB41" s="237"/>
      <c r="AC41" s="231">
        <v>11</v>
      </c>
      <c r="AD41" s="235"/>
      <c r="AE41" s="236"/>
      <c r="AF41" s="236"/>
      <c r="AG41" s="236"/>
      <c r="AH41" s="265"/>
      <c r="AI41" s="236"/>
      <c r="AJ41" s="265"/>
      <c r="AK41" s="265"/>
      <c r="AL41" s="231">
        <v>11</v>
      </c>
      <c r="AM41" s="1409"/>
      <c r="AN41" s="707"/>
      <c r="AO41" s="1409"/>
      <c r="AP41" s="725"/>
      <c r="AQ41" s="236"/>
      <c r="AR41" s="239"/>
      <c r="AS41" s="236"/>
      <c r="AT41" s="236"/>
      <c r="AU41" s="236"/>
      <c r="AV41" s="265"/>
      <c r="AW41" s="265"/>
      <c r="AX41" s="231">
        <v>11</v>
      </c>
      <c r="AY41" s="236"/>
      <c r="AZ41" s="266"/>
      <c r="BA41" s="236"/>
      <c r="BB41" s="236"/>
      <c r="BC41" s="238"/>
      <c r="BD41" s="265"/>
      <c r="BE41" s="265"/>
      <c r="BF41" s="265"/>
      <c r="BG41" s="265"/>
      <c r="BH41" s="265"/>
      <c r="BI41" s="265"/>
      <c r="BJ41" s="265"/>
      <c r="BK41" s="265"/>
      <c r="BL41" s="265"/>
      <c r="BM41" s="265"/>
    </row>
    <row r="42" spans="1:65" ht="15">
      <c r="A42" s="249">
        <v>12</v>
      </c>
      <c r="B42" s="250"/>
      <c r="C42" s="249">
        <v>12</v>
      </c>
      <c r="D42" s="251"/>
      <c r="E42" s="709"/>
      <c r="F42" s="709"/>
      <c r="G42" s="710"/>
      <c r="H42" s="710"/>
      <c r="I42" s="711"/>
      <c r="J42" s="710"/>
      <c r="K42" s="710"/>
      <c r="L42" s="709"/>
      <c r="M42" s="252"/>
      <c r="N42" s="253"/>
      <c r="O42" s="130"/>
      <c r="P42" s="130"/>
      <c r="Q42" s="130"/>
      <c r="R42" s="130"/>
      <c r="S42" s="130"/>
      <c r="T42" s="130"/>
      <c r="U42" s="130"/>
      <c r="V42" s="130"/>
      <c r="W42" s="130"/>
      <c r="X42" s="130"/>
      <c r="Y42" s="130"/>
      <c r="Z42" s="130"/>
      <c r="AA42" s="130"/>
      <c r="AB42" s="130"/>
      <c r="AC42" s="249">
        <v>12</v>
      </c>
      <c r="AD42" s="253"/>
      <c r="AE42" s="130"/>
      <c r="AF42" s="130"/>
      <c r="AG42" s="130"/>
      <c r="AH42" s="254"/>
      <c r="AI42" s="130"/>
      <c r="AJ42" s="254"/>
      <c r="AK42" s="254"/>
      <c r="AL42" s="249">
        <v>12</v>
      </c>
      <c r="AM42" s="836"/>
      <c r="AN42" s="710"/>
      <c r="AO42" s="836"/>
      <c r="AP42" s="726"/>
      <c r="AQ42" s="130"/>
      <c r="AR42" s="129"/>
      <c r="AS42" s="130"/>
      <c r="AT42" s="130"/>
      <c r="AU42" s="130"/>
      <c r="AV42" s="254"/>
      <c r="AW42" s="254"/>
      <c r="AX42" s="249">
        <v>12</v>
      </c>
      <c r="AY42" s="130"/>
      <c r="AZ42" s="255"/>
      <c r="BA42" s="130"/>
      <c r="BB42" s="130"/>
      <c r="BC42" s="256"/>
      <c r="BD42" s="254"/>
      <c r="BE42" s="254"/>
      <c r="BF42" s="254"/>
      <c r="BG42" s="254"/>
      <c r="BH42" s="254"/>
      <c r="BI42" s="254"/>
      <c r="BJ42" s="254"/>
      <c r="BK42" s="254"/>
      <c r="BL42" s="254"/>
      <c r="BM42" s="254"/>
    </row>
    <row r="43" spans="1:65" ht="15">
      <c r="A43" s="249">
        <v>13</v>
      </c>
      <c r="B43" s="250"/>
      <c r="C43" s="249">
        <v>13</v>
      </c>
      <c r="D43" s="251"/>
      <c r="E43" s="709"/>
      <c r="F43" s="709"/>
      <c r="G43" s="710"/>
      <c r="H43" s="710"/>
      <c r="I43" s="711"/>
      <c r="J43" s="710"/>
      <c r="K43" s="710"/>
      <c r="L43" s="709"/>
      <c r="M43" s="252"/>
      <c r="N43" s="253"/>
      <c r="O43" s="130"/>
      <c r="P43" s="130"/>
      <c r="Q43" s="130"/>
      <c r="R43" s="130"/>
      <c r="S43" s="130"/>
      <c r="T43" s="130"/>
      <c r="U43" s="130"/>
      <c r="V43" s="130"/>
      <c r="W43" s="130"/>
      <c r="X43" s="130"/>
      <c r="Y43" s="130"/>
      <c r="Z43" s="130"/>
      <c r="AA43" s="130"/>
      <c r="AB43" s="130"/>
      <c r="AC43" s="249">
        <v>13</v>
      </c>
      <c r="AD43" s="253"/>
      <c r="AE43" s="130"/>
      <c r="AF43" s="130"/>
      <c r="AG43" s="130"/>
      <c r="AH43" s="254"/>
      <c r="AI43" s="130"/>
      <c r="AJ43" s="254"/>
      <c r="AK43" s="254"/>
      <c r="AL43" s="249">
        <v>13</v>
      </c>
      <c r="AM43" s="836"/>
      <c r="AN43" s="710"/>
      <c r="AO43" s="836"/>
      <c r="AP43" s="726"/>
      <c r="AQ43" s="130"/>
      <c r="AR43" s="129"/>
      <c r="AS43" s="130"/>
      <c r="AT43" s="130"/>
      <c r="AU43" s="130"/>
      <c r="AV43" s="254"/>
      <c r="AW43" s="254"/>
      <c r="AX43" s="249">
        <v>13</v>
      </c>
      <c r="AY43" s="130"/>
      <c r="AZ43" s="255"/>
      <c r="BA43" s="130"/>
      <c r="BB43" s="130"/>
      <c r="BC43" s="256"/>
      <c r="BD43" s="254"/>
      <c r="BE43" s="254"/>
      <c r="BF43" s="254"/>
      <c r="BG43" s="254"/>
      <c r="BH43" s="254"/>
      <c r="BI43" s="254"/>
      <c r="BJ43" s="254"/>
      <c r="BK43" s="254"/>
      <c r="BL43" s="254"/>
      <c r="BM43" s="254"/>
    </row>
    <row r="44" spans="1:65" ht="15">
      <c r="A44" s="249">
        <v>14</v>
      </c>
      <c r="B44" s="250"/>
      <c r="C44" s="249">
        <v>14</v>
      </c>
      <c r="D44" s="251"/>
      <c r="E44" s="709"/>
      <c r="F44" s="709"/>
      <c r="G44" s="710"/>
      <c r="H44" s="710"/>
      <c r="I44" s="711"/>
      <c r="J44" s="710"/>
      <c r="K44" s="710"/>
      <c r="L44" s="709"/>
      <c r="M44" s="252"/>
      <c r="N44" s="253"/>
      <c r="O44" s="130"/>
      <c r="P44" s="130"/>
      <c r="Q44" s="130"/>
      <c r="R44" s="130"/>
      <c r="S44" s="130"/>
      <c r="T44" s="130"/>
      <c r="U44" s="130"/>
      <c r="V44" s="130"/>
      <c r="W44" s="130"/>
      <c r="X44" s="130"/>
      <c r="Y44" s="130"/>
      <c r="Z44" s="130"/>
      <c r="AA44" s="130"/>
      <c r="AB44" s="130"/>
      <c r="AC44" s="249">
        <v>14</v>
      </c>
      <c r="AD44" s="253"/>
      <c r="AE44" s="130"/>
      <c r="AF44" s="130"/>
      <c r="AG44" s="130"/>
      <c r="AH44" s="254"/>
      <c r="AI44" s="130"/>
      <c r="AJ44" s="254"/>
      <c r="AK44" s="254"/>
      <c r="AL44" s="249">
        <v>14</v>
      </c>
      <c r="AM44" s="836"/>
      <c r="AN44" s="710"/>
      <c r="AO44" s="836"/>
      <c r="AP44" s="726"/>
      <c r="AQ44" s="130"/>
      <c r="AR44" s="129"/>
      <c r="AS44" s="130"/>
      <c r="AT44" s="130"/>
      <c r="AU44" s="130"/>
      <c r="AV44" s="254"/>
      <c r="AW44" s="254"/>
      <c r="AX44" s="249">
        <v>14</v>
      </c>
      <c r="AY44" s="130"/>
      <c r="AZ44" s="255"/>
      <c r="BA44" s="130"/>
      <c r="BB44" s="130"/>
      <c r="BC44" s="256"/>
      <c r="BD44" s="254"/>
      <c r="BE44" s="254"/>
      <c r="BF44" s="254"/>
      <c r="BG44" s="254"/>
      <c r="BH44" s="254"/>
      <c r="BI44" s="254"/>
      <c r="BJ44" s="254"/>
      <c r="BK44" s="254"/>
      <c r="BL44" s="254"/>
      <c r="BM44" s="254"/>
    </row>
    <row r="45" spans="1:65" ht="15">
      <c r="A45" s="249">
        <v>15</v>
      </c>
      <c r="B45" s="250"/>
      <c r="C45" s="249">
        <v>15</v>
      </c>
      <c r="D45" s="251"/>
      <c r="E45" s="709"/>
      <c r="F45" s="709"/>
      <c r="G45" s="710"/>
      <c r="H45" s="710"/>
      <c r="I45" s="711"/>
      <c r="J45" s="710"/>
      <c r="K45" s="710"/>
      <c r="L45" s="709"/>
      <c r="M45" s="252"/>
      <c r="N45" s="253"/>
      <c r="O45" s="130"/>
      <c r="P45" s="130"/>
      <c r="Q45" s="130"/>
      <c r="R45" s="130"/>
      <c r="S45" s="130"/>
      <c r="T45" s="130"/>
      <c r="U45" s="130"/>
      <c r="V45" s="130"/>
      <c r="W45" s="130"/>
      <c r="X45" s="130"/>
      <c r="Y45" s="130"/>
      <c r="Z45" s="130"/>
      <c r="AA45" s="130"/>
      <c r="AB45" s="130"/>
      <c r="AC45" s="249">
        <v>15</v>
      </c>
      <c r="AD45" s="253"/>
      <c r="AE45" s="130"/>
      <c r="AF45" s="130"/>
      <c r="AG45" s="130"/>
      <c r="AH45" s="254"/>
      <c r="AI45" s="130"/>
      <c r="AJ45" s="254"/>
      <c r="AK45" s="254"/>
      <c r="AL45" s="249">
        <v>15</v>
      </c>
      <c r="AM45" s="836"/>
      <c r="AN45" s="710"/>
      <c r="AO45" s="836"/>
      <c r="AP45" s="726"/>
      <c r="AQ45" s="130"/>
      <c r="AR45" s="129"/>
      <c r="AS45" s="130"/>
      <c r="AT45" s="130"/>
      <c r="AU45" s="130"/>
      <c r="AV45" s="254"/>
      <c r="AW45" s="254"/>
      <c r="AX45" s="249">
        <v>15</v>
      </c>
      <c r="AY45" s="130"/>
      <c r="AZ45" s="255"/>
      <c r="BA45" s="130"/>
      <c r="BB45" s="130"/>
      <c r="BC45" s="256"/>
      <c r="BD45" s="254"/>
      <c r="BE45" s="254"/>
      <c r="BF45" s="254"/>
      <c r="BG45" s="254"/>
      <c r="BH45" s="254"/>
      <c r="BI45" s="254"/>
      <c r="BJ45" s="254"/>
      <c r="BK45" s="254"/>
      <c r="BL45" s="254"/>
      <c r="BM45" s="254"/>
    </row>
    <row r="46" spans="1:65">
      <c r="L46" s="135"/>
      <c r="AV46" s="270"/>
      <c r="BD46" s="270"/>
    </row>
    <row r="49" spans="12:12">
      <c r="L49" s="135"/>
    </row>
    <row r="50" spans="12:12">
      <c r="L50" s="135"/>
    </row>
  </sheetData>
  <customSheetViews>
    <customSheetView guid="{9C153D9E-615C-443B-9CD7-551163282F03}" scale="140" showPageBreaks="1" printArea="1" view="pageBreakPreview" topLeftCell="AT1">
      <pane ySplit="1" topLeftCell="A2" activePane="bottomLeft" state="frozen"/>
      <selection pane="bottomLeft" activeCell="AX5" sqref="AX5:AX24"/>
      <colBreaks count="4" manualBreakCount="4">
        <brk id="2" max="1048575" man="1"/>
        <brk id="20" max="1048575" man="1"/>
        <brk id="29" max="1048575" man="1"/>
        <brk id="40" max="1048575" man="1"/>
      </colBreaks>
      <pageMargins left="0" right="0" top="0" bottom="0" header="0" footer="0"/>
      <pageSetup firstPageNumber="3" orientation="landscape" useFirstPageNumber="1" r:id="rId1"/>
      <headerFooter>
        <oddFooter>&amp;C&amp;P</oddFooter>
      </headerFooter>
    </customSheetView>
    <customSheetView guid="{BE9F68F7-D81B-4526-9959-D871EC50BDFF}" scale="140" showPageBreaks="1" printArea="1" view="pageBreakPreview" topLeftCell="AK1">
      <pane ySplit="1" topLeftCell="A23" activePane="bottomLeft" state="frozen"/>
      <selection pane="bottomLeft" activeCell="AM10" sqref="AM10"/>
      <colBreaks count="4" manualBreakCount="4">
        <brk id="2" max="1048575" man="1"/>
        <brk id="20" max="1048575" man="1"/>
        <brk id="29" max="1048575" man="1"/>
        <brk id="40" max="1048575" man="1"/>
      </colBreaks>
      <pageMargins left="0" right="0" top="0" bottom="0" header="0" footer="0"/>
      <pageSetup firstPageNumber="3" orientation="landscape" useFirstPageNumber="1" r:id="rId2"/>
      <headerFooter>
        <oddFooter>&amp;C&amp;P</oddFooter>
      </headerFooter>
    </customSheetView>
    <customSheetView guid="{EF790C5B-80DA-4544-9EB7-EFE0323B2298}" scale="140" showPageBreaks="1" printArea="1" view="pageBreakPreview" topLeftCell="Q1">
      <pane ySplit="1" topLeftCell="A5" activePane="bottomLeft" state="frozen"/>
      <selection pane="bottomLeft" activeCell="Z8" sqref="Z8"/>
      <colBreaks count="4" manualBreakCount="4">
        <brk id="2" max="1048575" man="1"/>
        <brk id="20" max="1048575" man="1"/>
        <brk id="29" max="1048575" man="1"/>
        <brk id="40" max="1048575" man="1"/>
      </colBreaks>
      <pageMargins left="0" right="0" top="0" bottom="0" header="0" footer="0"/>
      <pageSetup firstPageNumber="3" orientation="landscape" useFirstPageNumber="1" r:id="rId3"/>
      <headerFooter>
        <oddFooter>&amp;C&amp;P</oddFooter>
      </headerFooter>
    </customSheetView>
    <customSheetView guid="{C9D2DBB1-CD01-4732-8C86-64BE16C94753}" scale="80" showPageBreaks="1" printArea="1" view="pageBreakPreview" topLeftCell="AC1">
      <selection activeCell="AU11" sqref="AU11"/>
      <colBreaks count="4" manualBreakCount="4">
        <brk id="2" max="1048575" man="1"/>
        <brk id="20" max="1048575" man="1"/>
        <brk id="29" max="1048575" man="1"/>
        <brk id="40" max="1048575" man="1"/>
      </colBreaks>
      <pageMargins left="0" right="0" top="0" bottom="0" header="0" footer="0"/>
      <pageSetup firstPageNumber="3" orientation="landscape" useFirstPageNumber="1" r:id="rId4"/>
      <headerFooter>
        <oddFooter>&amp;C&amp;P</oddFooter>
      </headerFooter>
    </customSheetView>
    <customSheetView guid="{BFEC163F-7C4E-49B7-9F32-15225772E72F}" scale="80" showPageBreaks="1" printArea="1" view="pageBreakPreview" topLeftCell="AH1">
      <selection activeCell="AN21" sqref="AN21"/>
      <colBreaks count="4" manualBreakCount="4">
        <brk id="2" max="1048575" man="1"/>
        <brk id="20" max="1048575" man="1"/>
        <brk id="29" max="1048575" man="1"/>
        <brk id="40" max="1048575" man="1"/>
      </colBreaks>
      <pageMargins left="0" right="0" top="0" bottom="0" header="0" footer="0"/>
      <pageSetup firstPageNumber="3" orientation="landscape" useFirstPageNumber="1" r:id="rId5"/>
      <headerFooter>
        <oddFooter>&amp;C&amp;P</oddFooter>
      </headerFooter>
    </customSheetView>
    <customSheetView guid="{5529DB6B-163A-4048-9107-267B30B97DF3}" scale="80" showPageBreaks="1" printArea="1" view="pageBreakPreview" topLeftCell="AH1">
      <selection activeCell="AN21" sqref="AN21"/>
      <colBreaks count="4" manualBreakCount="4">
        <brk id="2" max="1048575" man="1"/>
        <brk id="20" max="1048575" man="1"/>
        <brk id="29" max="1048575" man="1"/>
        <brk id="40" max="1048575" man="1"/>
      </colBreaks>
      <pageMargins left="0" right="0" top="0" bottom="0" header="0" footer="0"/>
      <pageSetup firstPageNumber="3" orientation="landscape" useFirstPageNumber="1" r:id="rId6"/>
      <headerFooter>
        <oddFooter>&amp;C&amp;P</oddFooter>
      </headerFooter>
    </customSheetView>
    <customSheetView guid="{9B0763AA-FA4B-479A-900C-C113E8BEEFEB}" scale="80" showPageBreaks="1" printArea="1" view="pageBreakPreview" topLeftCell="AK1">
      <selection activeCell="AK10" sqref="AK10:AK16"/>
      <colBreaks count="4" manualBreakCount="4">
        <brk id="2" max="1048575" man="1"/>
        <brk id="20" max="1048575" man="1"/>
        <brk id="29" max="1048575" man="1"/>
        <brk id="40" max="1048575" man="1"/>
      </colBreaks>
      <pageMargins left="0" right="0" top="0" bottom="0" header="0" footer="0"/>
      <pageSetup firstPageNumber="3" orientation="landscape" useFirstPageNumber="1" r:id="rId7"/>
      <headerFooter>
        <oddFooter>&amp;C&amp;P</oddFooter>
      </headerFooter>
    </customSheetView>
    <customSheetView guid="{89903799-8228-4A6D-8A81-7F80BC61226D}" scale="140" showPageBreaks="1" printArea="1" view="pageBreakPreview" topLeftCell="AK1">
      <selection activeCell="AK14" sqref="AK14"/>
      <colBreaks count="4" manualBreakCount="4">
        <brk id="2" max="1048575" man="1"/>
        <brk id="20" max="1048575" man="1"/>
        <brk id="29" max="1048575" man="1"/>
        <brk id="40" max="1048575" man="1"/>
      </colBreaks>
      <pageMargins left="0" right="0" top="0" bottom="0" header="0" footer="0"/>
      <pageSetup firstPageNumber="3" orientation="landscape" useFirstPageNumber="1" r:id="rId8"/>
      <headerFooter>
        <oddFooter>&amp;C&amp;P</oddFooter>
      </headerFooter>
    </customSheetView>
    <customSheetView guid="{2524630E-605A-4616-AD5D-6CF7B1E9752C}" scale="140" showPageBreaks="1" printArea="1" view="pageBreakPreview" topLeftCell="AE1">
      <pane ySplit="1" topLeftCell="A10" activePane="bottomLeft" state="frozen"/>
      <selection pane="bottomLeft" activeCell="AG22" sqref="AG22"/>
      <colBreaks count="4" manualBreakCount="4">
        <brk id="2" max="1048575" man="1"/>
        <brk id="20" max="1048575" man="1"/>
        <brk id="29" max="1048575" man="1"/>
        <brk id="40" max="1048575" man="1"/>
      </colBreaks>
      <pageMargins left="0" right="0" top="0" bottom="0" header="0" footer="0"/>
      <pageSetup firstPageNumber="3" orientation="landscape" useFirstPageNumber="1" r:id="rId9"/>
      <headerFooter>
        <oddFooter>&amp;C&amp;P</oddFooter>
      </headerFooter>
    </customSheetView>
  </customSheetViews>
  <mergeCells count="96">
    <mergeCell ref="AL4:AL30"/>
    <mergeCell ref="AB5:AB10"/>
    <mergeCell ref="BA5:BA9"/>
    <mergeCell ref="AH26:AH28"/>
    <mergeCell ref="AQ14:AQ15"/>
    <mergeCell ref="AF5:AF10"/>
    <mergeCell ref="AE5:AE9"/>
    <mergeCell ref="AI19:AI28"/>
    <mergeCell ref="AG5:AG6"/>
    <mergeCell ref="AJ5:AJ11"/>
    <mergeCell ref="AO5:AO7"/>
    <mergeCell ref="AH8:AH25"/>
    <mergeCell ref="AP5:AP12"/>
    <mergeCell ref="AW16:AW17"/>
    <mergeCell ref="AW10:AW11"/>
    <mergeCell ref="AV22:AV23"/>
    <mergeCell ref="AI5:AI6"/>
    <mergeCell ref="A4:A30"/>
    <mergeCell ref="C4:C30"/>
    <mergeCell ref="B5:B9"/>
    <mergeCell ref="D5:D30"/>
    <mergeCell ref="N5:N8"/>
    <mergeCell ref="G4:H4"/>
    <mergeCell ref="J4:K4"/>
    <mergeCell ref="E5:E8"/>
    <mergeCell ref="F5:F7"/>
    <mergeCell ref="G5:H7"/>
    <mergeCell ref="I5:I10"/>
    <mergeCell ref="J5:K7"/>
    <mergeCell ref="L5:L7"/>
    <mergeCell ref="N9:N10"/>
    <mergeCell ref="N20:N22"/>
    <mergeCell ref="BI4:BM4"/>
    <mergeCell ref="BL11:BL28"/>
    <mergeCell ref="BI11:BI28"/>
    <mergeCell ref="BM11:BM28"/>
    <mergeCell ref="BE5:BE8"/>
    <mergeCell ref="BF15:BF16"/>
    <mergeCell ref="BF17:BF19"/>
    <mergeCell ref="BH5:BH28"/>
    <mergeCell ref="BG5:BG11"/>
    <mergeCell ref="BG15:BG16"/>
    <mergeCell ref="BG17:BG19"/>
    <mergeCell ref="BD12:BD13"/>
    <mergeCell ref="BD5:BD8"/>
    <mergeCell ref="BA18:BA19"/>
    <mergeCell ref="AY5:AY10"/>
    <mergeCell ref="AQ5:AQ10"/>
    <mergeCell ref="AW18:AW19"/>
    <mergeCell ref="AZ5:AZ10"/>
    <mergeCell ref="AZ18:AZ19"/>
    <mergeCell ref="AW12:AW13"/>
    <mergeCell ref="AU12:AU13"/>
    <mergeCell ref="AV17:AV18"/>
    <mergeCell ref="AV5:AV8"/>
    <mergeCell ref="AU5:AU8"/>
    <mergeCell ref="AS5:AS9"/>
    <mergeCell ref="AT5:AT8"/>
    <mergeCell ref="AU15:AU16"/>
    <mergeCell ref="BI30:BM30"/>
    <mergeCell ref="BF5:BF11"/>
    <mergeCell ref="BJ11:BJ28"/>
    <mergeCell ref="BI5:BM9"/>
    <mergeCell ref="BE10:BE11"/>
    <mergeCell ref="BK11:BK28"/>
    <mergeCell ref="BC5:BC7"/>
    <mergeCell ref="BB5:BB8"/>
    <mergeCell ref="AY14:AY15"/>
    <mergeCell ref="AC4:AC30"/>
    <mergeCell ref="AD5:AD8"/>
    <mergeCell ref="AX4:AX30"/>
    <mergeCell ref="AW14:AW15"/>
    <mergeCell ref="AW5:AW9"/>
    <mergeCell ref="AV12:AV13"/>
    <mergeCell ref="AV14:AV15"/>
    <mergeCell ref="AH5:AH6"/>
    <mergeCell ref="AV20:AV21"/>
    <mergeCell ref="AK5:AK11"/>
    <mergeCell ref="AN5:AN12"/>
    <mergeCell ref="AM5:AM7"/>
    <mergeCell ref="AR5:AR10"/>
    <mergeCell ref="X4:AA4"/>
    <mergeCell ref="X5:AA8"/>
    <mergeCell ref="O8:Q11"/>
    <mergeCell ref="O5:Q6"/>
    <mergeCell ref="R20:S25"/>
    <mergeCell ref="W5:W10"/>
    <mergeCell ref="O27:Q27"/>
    <mergeCell ref="R5:S7"/>
    <mergeCell ref="T5:T12"/>
    <mergeCell ref="R8:S19"/>
    <mergeCell ref="X9:AA28"/>
    <mergeCell ref="U5:U11"/>
    <mergeCell ref="U16:U28"/>
    <mergeCell ref="V5:V9"/>
    <mergeCell ref="W12:W13"/>
  </mergeCells>
  <pageMargins left="0.314" right="0.314" top="0.11799999999999999" bottom="0.27500000000000002" header="0.157" footer="0.11799999999999999"/>
  <pageSetup scale="62" firstPageNumber="3" fitToWidth="0" orientation="landscape" useFirstPageNumber="1" r:id="rId10"/>
  <headerFooter>
    <oddFooter>&amp;C&amp;P</oddFooter>
  </headerFooter>
  <colBreaks count="4" manualBreakCount="4">
    <brk id="17" max="1048575" man="1"/>
    <brk id="28" max="1048575" man="1"/>
    <brk id="37" max="1048575" man="1"/>
    <brk id="49"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CI40"/>
  <sheetViews>
    <sheetView view="pageBreakPreview" topLeftCell="AU19" zoomScale="180" zoomScaleNormal="100" zoomScaleSheetLayoutView="180" workbookViewId="0">
      <selection activeCell="BB16" sqref="BB16:BB18"/>
    </sheetView>
  </sheetViews>
  <sheetFormatPr defaultColWidth="9.140625" defaultRowHeight="12.75"/>
  <cols>
    <col min="1" max="1" width="3.5703125" style="271" customWidth="1"/>
    <col min="2" max="2" width="7.85546875" style="271" customWidth="1"/>
    <col min="3" max="5" width="8.7109375" style="271" customWidth="1"/>
    <col min="6" max="6" width="11.28515625" style="271" customWidth="1"/>
    <col min="7" max="7" width="9.28515625" style="271" customWidth="1"/>
    <col min="8" max="8" width="8.7109375" style="271" customWidth="1"/>
    <col min="9" max="10" width="6.28515625" style="769" customWidth="1"/>
    <col min="11" max="11" width="9" style="769" customWidth="1"/>
    <col min="12" max="12" width="4.7109375" style="271" customWidth="1"/>
    <col min="13" max="13" width="8.5703125" style="271" customWidth="1"/>
    <col min="14" max="14" width="5.28515625" style="271" customWidth="1"/>
    <col min="15" max="15" width="6" style="271" customWidth="1"/>
    <col min="16" max="16" width="7" style="271" customWidth="1"/>
    <col min="17" max="17" width="9" style="271" customWidth="1"/>
    <col min="18" max="18" width="13.7109375" style="769" customWidth="1"/>
    <col min="19" max="19" width="11.85546875" style="271" customWidth="1"/>
    <col min="20" max="20" width="12.28515625" style="271" customWidth="1"/>
    <col min="21" max="21" width="9.42578125" style="271" customWidth="1"/>
    <col min="22" max="22" width="3.5703125" style="271" customWidth="1"/>
    <col min="23" max="23" width="8.7109375" style="271" customWidth="1"/>
    <col min="24" max="24" width="16.85546875" style="271" customWidth="1"/>
    <col min="25" max="25" width="13.42578125" customWidth="1"/>
    <col min="26" max="26" width="11.42578125" style="769" customWidth="1"/>
    <col min="27" max="32" width="4.140625" style="769" customWidth="1"/>
    <col min="33" max="33" width="13.42578125" style="769" customWidth="1"/>
    <col min="34" max="41" width="4.140625" style="769" customWidth="1"/>
    <col min="42" max="42" width="21.42578125" style="271" customWidth="1"/>
    <col min="43" max="43" width="18.7109375" style="271" customWidth="1"/>
    <col min="44" max="44" width="6.28515625" style="271" customWidth="1"/>
    <col min="45" max="45" width="4.5703125" style="271" customWidth="1"/>
    <col min="46" max="46" width="11.85546875" style="769" customWidth="1"/>
    <col min="47" max="47" width="17" style="769" customWidth="1"/>
    <col min="48" max="48" width="10.42578125" style="769" customWidth="1"/>
    <col min="49" max="50" width="6.85546875" style="271" customWidth="1"/>
    <col min="51" max="51" width="8" style="271" customWidth="1"/>
    <col min="52" max="52" width="2.5703125" style="271" customWidth="1"/>
    <col min="53" max="53" width="19.5703125" style="271" bestFit="1" customWidth="1"/>
    <col min="54" max="54" width="17.140625" style="271" customWidth="1"/>
    <col min="55" max="55" width="11" style="271" customWidth="1"/>
    <col min="56" max="56" width="3.5703125" style="271" customWidth="1"/>
    <col min="57" max="57" width="12.140625" style="271" customWidth="1"/>
    <col min="58" max="66" width="4.28515625" style="271" customWidth="1"/>
    <col min="67" max="67" width="9.140625" style="271" hidden="1" customWidth="1"/>
    <col min="68" max="70" width="4.140625" style="769" customWidth="1"/>
    <col min="71" max="71" width="17" style="271" customWidth="1"/>
    <col min="72" max="72" width="12.85546875" style="769" customWidth="1"/>
    <col min="73" max="73" width="12.85546875" style="271" customWidth="1"/>
    <col min="74" max="76" width="12.42578125" style="271" customWidth="1"/>
    <col min="77" max="77" width="3.5703125" style="271" customWidth="1"/>
    <col min="78" max="78" width="11.140625" style="271" customWidth="1"/>
    <col min="79" max="79" width="11.7109375" style="271" customWidth="1"/>
    <col min="80" max="81" width="11.42578125" style="271" customWidth="1"/>
    <col min="82" max="82" width="19.42578125" style="271" customWidth="1"/>
    <col min="83" max="84" width="18.42578125" style="271" customWidth="1"/>
    <col min="85" max="85" width="9.42578125" style="271" customWidth="1"/>
    <col min="86" max="86" width="24.85546875" style="271" customWidth="1"/>
    <col min="87" max="87" width="11.42578125" style="271" customWidth="1"/>
    <col min="88" max="16384" width="9.140625" style="271"/>
  </cols>
  <sheetData>
    <row r="1" spans="1:86" ht="15.75" customHeight="1">
      <c r="A1" s="279" t="s">
        <v>429</v>
      </c>
      <c r="B1" s="279"/>
      <c r="C1" s="280"/>
      <c r="D1" s="281"/>
      <c r="E1" s="281"/>
      <c r="F1" s="280"/>
      <c r="G1" s="280"/>
      <c r="H1" s="281"/>
      <c r="I1" s="728"/>
      <c r="J1" s="729"/>
      <c r="K1" s="729"/>
      <c r="L1" s="281"/>
      <c r="M1" s="281"/>
      <c r="N1" s="281"/>
      <c r="O1" s="281"/>
      <c r="P1" s="281"/>
      <c r="Q1" s="281"/>
      <c r="R1" s="729"/>
      <c r="S1" s="281"/>
      <c r="T1" s="281"/>
      <c r="U1" s="281"/>
      <c r="V1" s="279" t="s">
        <v>429</v>
      </c>
      <c r="W1" s="281"/>
      <c r="X1" s="281"/>
      <c r="Y1" s="729"/>
      <c r="Z1" s="729"/>
      <c r="AA1" s="729"/>
      <c r="AB1" s="729"/>
      <c r="AC1" s="729"/>
      <c r="AD1" s="729"/>
      <c r="AE1" s="729"/>
      <c r="AF1" s="729"/>
      <c r="AG1" s="729"/>
      <c r="AH1" s="729"/>
      <c r="AI1" s="729"/>
      <c r="AJ1" s="729"/>
      <c r="AK1" s="729"/>
      <c r="AL1" s="729"/>
      <c r="AM1" s="729"/>
      <c r="AN1" s="729"/>
      <c r="AO1" s="729"/>
      <c r="AP1" s="281"/>
      <c r="AQ1" s="281"/>
      <c r="AR1" s="281"/>
      <c r="AS1" s="281"/>
      <c r="AT1" s="729"/>
      <c r="AU1" s="729"/>
      <c r="AV1" s="729"/>
      <c r="AW1" s="281"/>
      <c r="AY1" s="281"/>
      <c r="AZ1" s="281"/>
      <c r="BA1" s="281"/>
      <c r="BC1" s="279" t="s">
        <v>429</v>
      </c>
      <c r="BE1" s="281"/>
      <c r="BF1" s="281"/>
      <c r="BG1" s="281"/>
      <c r="BH1" s="281"/>
      <c r="BI1" s="281"/>
      <c r="BJ1" s="281"/>
      <c r="BK1" s="281"/>
      <c r="BL1" s="281"/>
      <c r="BM1" s="281"/>
      <c r="BN1" s="281"/>
      <c r="BO1" s="281"/>
      <c r="BP1" s="729"/>
      <c r="BQ1" s="729"/>
      <c r="BR1" s="729"/>
      <c r="BS1" s="281"/>
      <c r="BT1" s="729"/>
      <c r="BU1" s="281"/>
      <c r="BV1" s="279"/>
      <c r="BX1" s="279" t="s">
        <v>429</v>
      </c>
      <c r="BZ1" s="281"/>
      <c r="CA1" s="281"/>
      <c r="CB1" s="281"/>
      <c r="CC1" s="281"/>
      <c r="CD1" s="281"/>
      <c r="CE1" s="279"/>
      <c r="CF1" s="279"/>
      <c r="CG1" s="282"/>
      <c r="CH1" s="281"/>
    </row>
    <row r="2" spans="1:86" ht="15.75" customHeight="1">
      <c r="A2" s="283"/>
      <c r="B2" s="283"/>
      <c r="C2" s="284"/>
      <c r="D2" s="285"/>
      <c r="E2" s="285"/>
      <c r="F2" s="284"/>
      <c r="G2" s="284"/>
      <c r="H2" s="285"/>
      <c r="I2" s="730"/>
      <c r="J2" s="731"/>
      <c r="K2" s="731"/>
      <c r="L2" s="285"/>
      <c r="M2" s="285"/>
      <c r="N2" s="285"/>
      <c r="O2" s="285"/>
      <c r="P2" s="285"/>
      <c r="Q2" s="285"/>
      <c r="R2" s="731"/>
      <c r="S2" s="285"/>
      <c r="T2" s="285"/>
      <c r="U2" s="285"/>
      <c r="V2" s="285"/>
      <c r="W2" s="285"/>
      <c r="X2" s="285"/>
      <c r="Y2" s="731"/>
      <c r="Z2" s="731"/>
      <c r="AA2" s="744"/>
      <c r="AB2" s="744"/>
      <c r="AC2" s="744"/>
      <c r="AD2" s="744"/>
      <c r="AE2" s="744"/>
      <c r="AF2" s="744"/>
      <c r="AG2" s="731"/>
      <c r="AH2" s="744"/>
      <c r="AI2" s="744"/>
      <c r="AJ2" s="744"/>
      <c r="AK2" s="744"/>
      <c r="AL2" s="744"/>
      <c r="AM2" s="744"/>
      <c r="AN2" s="744"/>
      <c r="AO2" s="744"/>
      <c r="AP2" s="285"/>
      <c r="AQ2" s="285"/>
      <c r="AR2" s="285"/>
      <c r="AS2" s="285"/>
      <c r="AT2" s="731"/>
      <c r="AU2" s="731"/>
      <c r="AV2" s="731"/>
      <c r="AW2" s="285"/>
      <c r="AX2" s="285"/>
      <c r="AY2" s="285"/>
      <c r="AZ2" s="285"/>
      <c r="BA2" s="286"/>
      <c r="BB2" s="286"/>
      <c r="BC2" s="286"/>
      <c r="BD2" s="286"/>
      <c r="BE2" s="286"/>
      <c r="BF2" s="286"/>
      <c r="BG2" s="286"/>
      <c r="BH2" s="286"/>
      <c r="BI2" s="286"/>
      <c r="BJ2" s="286"/>
      <c r="BK2" s="286"/>
      <c r="BL2" s="286"/>
      <c r="BM2" s="286"/>
      <c r="BN2" s="286"/>
      <c r="BO2" s="286"/>
      <c r="BP2" s="744"/>
      <c r="BQ2" s="744"/>
      <c r="BR2" s="744"/>
      <c r="BS2" s="286"/>
      <c r="BT2" s="765"/>
      <c r="BU2" s="287"/>
      <c r="BV2" s="286"/>
      <c r="BW2" s="286"/>
      <c r="BX2" s="286"/>
      <c r="BY2" s="286"/>
      <c r="BZ2" s="286"/>
      <c r="CA2" s="286"/>
      <c r="CB2" s="286"/>
      <c r="CC2" s="286"/>
      <c r="CD2" s="286"/>
      <c r="CE2" s="288"/>
      <c r="CF2" s="288"/>
      <c r="CG2" s="288"/>
      <c r="CH2" s="288"/>
    </row>
    <row r="3" spans="1:86" ht="13.5" customHeight="1">
      <c r="A3" s="2193" t="s">
        <v>187</v>
      </c>
      <c r="B3" s="289">
        <v>2</v>
      </c>
      <c r="C3" s="771">
        <f>B3+0.01</f>
        <v>2.0099999999999998</v>
      </c>
      <c r="D3" s="289"/>
      <c r="E3" s="291"/>
      <c r="F3" s="290">
        <f>C3+0.01</f>
        <v>2.0199999999999996</v>
      </c>
      <c r="G3" s="292"/>
      <c r="H3" s="291"/>
      <c r="I3" s="1062" t="str">
        <f>CONCATENATE(F3, "a")</f>
        <v>2,02a</v>
      </c>
      <c r="J3" s="1063"/>
      <c r="K3" s="1064"/>
      <c r="L3" s="293">
        <f>F3+0.01</f>
        <v>2.0299999999999994</v>
      </c>
      <c r="M3" s="289"/>
      <c r="N3" s="2324">
        <f>L3+0.01</f>
        <v>2.0399999999999991</v>
      </c>
      <c r="O3" s="2325"/>
      <c r="P3" s="2325"/>
      <c r="Q3" s="2326"/>
      <c r="R3" s="1058" t="str">
        <f>CONCATENATE(N3,"b")</f>
        <v>2,04b</v>
      </c>
      <c r="S3" s="294">
        <f>N3+0.01</f>
        <v>2.0499999999999989</v>
      </c>
      <c r="T3" s="295">
        <f>S3+0.01</f>
        <v>2.0599999999999987</v>
      </c>
      <c r="U3" s="97">
        <f>T3+0.01</f>
        <v>2.0699999999999985</v>
      </c>
      <c r="V3" s="2193" t="s">
        <v>187</v>
      </c>
      <c r="W3" s="97">
        <f>U3+0.01</f>
        <v>2.0799999999999983</v>
      </c>
      <c r="X3" s="851">
        <f>W3+0.01</f>
        <v>2.0899999999999981</v>
      </c>
      <c r="Y3" s="745" t="str">
        <f>CONCATENATE(X3,"a")</f>
        <v>2,09a</v>
      </c>
      <c r="Z3" s="746" t="str">
        <f>CONCATENATE(X3,"b")</f>
        <v>2,09b</v>
      </c>
      <c r="AA3" s="2246" t="str">
        <f>CONCATENATE(X3,"c")</f>
        <v>2,09c</v>
      </c>
      <c r="AB3" s="2247"/>
      <c r="AC3" s="2247"/>
      <c r="AD3" s="2248"/>
      <c r="AE3" s="853"/>
      <c r="AF3" s="747"/>
      <c r="AG3" s="748" t="str">
        <f>CONCATENATE(X3,"d")</f>
        <v>2,09d</v>
      </c>
      <c r="AH3" s="2249" t="str">
        <f>CONCATENATE(X3,"e")</f>
        <v>2,09e</v>
      </c>
      <c r="AI3" s="2250"/>
      <c r="AJ3" s="2250"/>
      <c r="AK3" s="2251"/>
      <c r="AL3" s="856"/>
      <c r="AM3" s="856"/>
      <c r="AN3" s="856"/>
      <c r="AO3" s="749"/>
      <c r="AP3" s="147">
        <f>X3+0.01</f>
        <v>2.0999999999999979</v>
      </c>
      <c r="AQ3" s="147">
        <f>AP3+0.01</f>
        <v>2.1099999999999977</v>
      </c>
      <c r="AR3" s="147">
        <f>AQ3+0.01</f>
        <v>2.1199999999999974</v>
      </c>
      <c r="AS3" s="296"/>
      <c r="AT3" s="805" t="str">
        <f>CONCATENATE(AR3, "a")</f>
        <v>2,12a</v>
      </c>
      <c r="AU3" s="805" t="str">
        <f>CONCATENATE(AR3, "b")</f>
        <v>2,12b</v>
      </c>
      <c r="AV3" s="855" t="str">
        <f>CONCATENATE(AR3, "c")</f>
        <v>2,12c</v>
      </c>
      <c r="AW3" s="2184">
        <f>AR3+0.01</f>
        <v>2.1299999999999972</v>
      </c>
      <c r="AX3" s="2320"/>
      <c r="AY3" s="297"/>
      <c r="AZ3" s="298"/>
      <c r="BA3" s="851">
        <f>AW3+0.01</f>
        <v>2.139999999999997</v>
      </c>
      <c r="BB3" s="97">
        <f>BA3+0.01</f>
        <v>2.1499999999999968</v>
      </c>
      <c r="BC3" s="97">
        <f>BB3+0.01</f>
        <v>2.1599999999999966</v>
      </c>
      <c r="BD3" s="2193" t="s">
        <v>187</v>
      </c>
      <c r="BE3" s="147">
        <f>BC3+0.01</f>
        <v>2.1699999999999964</v>
      </c>
      <c r="BF3" s="2184">
        <f>+BE3+0.01</f>
        <v>2.1799999999999962</v>
      </c>
      <c r="BG3" s="2185"/>
      <c r="BH3" s="2185"/>
      <c r="BI3" s="2320"/>
      <c r="BJ3" s="296"/>
      <c r="BK3" s="296"/>
      <c r="BL3" s="296"/>
      <c r="BM3" s="296"/>
      <c r="BN3" s="299"/>
      <c r="BO3" s="300">
        <f>BF3+0.01</f>
        <v>2.1899999999999959</v>
      </c>
      <c r="BP3" s="1415"/>
      <c r="BQ3" s="1417"/>
      <c r="BR3" s="749"/>
      <c r="BS3" s="301">
        <f>BF3+0.01</f>
        <v>2.1899999999999959</v>
      </c>
      <c r="BT3" s="745">
        <f>BS3+0.01</f>
        <v>2.1999999999999957</v>
      </c>
      <c r="BU3" s="301">
        <f>BT3+0.01</f>
        <v>2.2099999999999955</v>
      </c>
      <c r="BV3" s="300">
        <f>BU3+0.01</f>
        <v>2.2199999999999953</v>
      </c>
      <c r="BW3" s="101">
        <f>BV3+0.01</f>
        <v>2.2299999999999951</v>
      </c>
      <c r="BX3" s="101">
        <f>BW3+0.01</f>
        <v>2.2399999999999949</v>
      </c>
      <c r="BY3" s="2193" t="s">
        <v>187</v>
      </c>
      <c r="BZ3" s="101">
        <f>BX3+0.01</f>
        <v>2.2499999999999947</v>
      </c>
      <c r="CA3" s="101">
        <f t="shared" ref="CA3:CH3" si="0">BZ3+0.01</f>
        <v>2.2599999999999945</v>
      </c>
      <c r="CB3" s="101">
        <f t="shared" si="0"/>
        <v>2.2699999999999942</v>
      </c>
      <c r="CC3" s="101">
        <f t="shared" si="0"/>
        <v>2.279999999999994</v>
      </c>
      <c r="CD3" s="101">
        <f t="shared" si="0"/>
        <v>2.2899999999999938</v>
      </c>
      <c r="CE3" s="101">
        <f t="shared" si="0"/>
        <v>2.2999999999999936</v>
      </c>
      <c r="CF3" s="101">
        <f>CE3+0.01</f>
        <v>2.3099999999999934</v>
      </c>
      <c r="CG3" s="101">
        <f>CF3+0.01</f>
        <v>2.3199999999999932</v>
      </c>
      <c r="CH3" s="101">
        <f t="shared" si="0"/>
        <v>2.329999999999993</v>
      </c>
    </row>
    <row r="4" spans="1:86" ht="16.5" customHeight="1">
      <c r="A4" s="2194"/>
      <c r="B4" s="2227" t="s">
        <v>190</v>
      </c>
      <c r="C4" s="2177" t="s">
        <v>430</v>
      </c>
      <c r="D4" s="2178"/>
      <c r="E4" s="2190"/>
      <c r="F4" s="2177" t="s">
        <v>431</v>
      </c>
      <c r="G4" s="2178"/>
      <c r="H4" s="2190"/>
      <c r="I4" s="2300" t="s">
        <v>432</v>
      </c>
      <c r="J4" s="2301"/>
      <c r="K4" s="2302"/>
      <c r="L4" s="2172" t="s">
        <v>433</v>
      </c>
      <c r="M4" s="2173"/>
      <c r="N4" s="2172" t="str">
        <f>CONCATENATE("Qual foi a principal razão pela qual [NOME] não frequentou a escola formal?           Se 1 à 14 ►(",TEXT(S3,"0,00"),")")</f>
        <v>Qual foi a principal razão pela qual [NOME] não frequentou a escola formal?           Se 1 à 14 ►(2,05)</v>
      </c>
      <c r="O4" s="2186"/>
      <c r="P4" s="2186"/>
      <c r="Q4" s="2173"/>
      <c r="R4" s="2199" t="s">
        <v>434</v>
      </c>
      <c r="S4" s="2174" t="s">
        <v>435</v>
      </c>
      <c r="T4" s="2173" t="s">
        <v>436</v>
      </c>
      <c r="U4" s="2198" t="s">
        <v>437</v>
      </c>
      <c r="V4" s="2194"/>
      <c r="W4" s="2174" t="s">
        <v>438</v>
      </c>
      <c r="X4" s="2173" t="s">
        <v>439</v>
      </c>
      <c r="Y4" s="2173" t="e" vm="1">
        <f>CONCATENATE("A escola de [NOME] foi temporariamente fechada devido a COVID-19 durante o ano letivo 2019/2020", [1]Variables!D2,"?")</f>
        <v>#VALUE!</v>
      </c>
      <c r="Z4" s="2252" t="e" vm="1">
        <f>CONCATENATE("[NOME] entrou em contato com os professores ou com a administração da escola quando esta foi fechada durante o ano",[1]Variables!D2," ?")</f>
        <v>#VALUE!</v>
      </c>
      <c r="AA4" s="2253" t="e" vm="1">
        <f>CONCATENATE("Como [NOME] manteve contato com a escola quando ela foi fechada durante o ano letivo de 2019/2020?",[1]Variables!D2," ?")</f>
        <v>#VALUE!</v>
      </c>
      <c r="AB4" s="2254"/>
      <c r="AC4" s="2254"/>
      <c r="AD4" s="2254"/>
      <c r="AE4" s="2254"/>
      <c r="AF4" s="2255"/>
      <c r="AG4" s="2237" t="e" vm="1">
        <f>CONCATENATE("[NOME] participou de atividades educacionais enquanto a escola esteve fechada durante o ano letivo de 2019/2020 ",[1]Variables!D2," ?")</f>
        <v>#VALUE!</v>
      </c>
      <c r="AH4" s="2256" t="e" vm="1">
        <f>CONCATENATE("Que tipo de atividades educativas [NOME] realizou durante o encerramento da escola no ano letivo de 2019/2020 ",[1]Variables!D2," ?")</f>
        <v>#VALUE!</v>
      </c>
      <c r="AI4" s="2257"/>
      <c r="AJ4" s="2257"/>
      <c r="AK4" s="2257"/>
      <c r="AL4" s="2257"/>
      <c r="AM4" s="2257"/>
      <c r="AN4" s="2257"/>
      <c r="AO4" s="2258"/>
      <c r="AP4" s="2174" t="s">
        <v>440</v>
      </c>
      <c r="AQ4" s="2174" t="s">
        <v>441</v>
      </c>
      <c r="AR4" s="2338" t="s">
        <v>442</v>
      </c>
      <c r="AS4" s="2339"/>
      <c r="AT4" s="2199" t="s">
        <v>443</v>
      </c>
      <c r="AU4" s="2199" t="s">
        <v>444</v>
      </c>
      <c r="AV4" s="2237" t="s">
        <v>445</v>
      </c>
      <c r="AW4" s="2217" t="s">
        <v>446</v>
      </c>
      <c r="AX4" s="2319"/>
      <c r="AY4" s="2319"/>
      <c r="AZ4" s="2342"/>
      <c r="BA4" s="2191" t="s">
        <v>447</v>
      </c>
      <c r="BB4" s="2191" t="s">
        <v>448</v>
      </c>
      <c r="BC4" s="2191" t="s">
        <v>449</v>
      </c>
      <c r="BD4" s="2194"/>
      <c r="BE4" s="2346" t="s">
        <v>450</v>
      </c>
      <c r="BF4" s="2217" t="s">
        <v>451</v>
      </c>
      <c r="BG4" s="2319"/>
      <c r="BH4" s="2319"/>
      <c r="BI4" s="2319"/>
      <c r="BJ4" s="2319"/>
      <c r="BK4" s="2319"/>
      <c r="BL4" s="2319"/>
      <c r="BM4" s="2319"/>
      <c r="BN4" s="2342"/>
      <c r="BO4" s="90" t="s">
        <v>452</v>
      </c>
      <c r="BP4" s="90"/>
      <c r="BQ4" s="31"/>
      <c r="BR4" s="866"/>
      <c r="BS4" s="2319" t="s">
        <v>453</v>
      </c>
      <c r="BT4" s="2231" t="e" vm="1">
        <f>CONCATENATE("Qual é o valor das propinas (incluindo taxas de inscrição) para o ano letivo de 2020/2021",[1]Variables!E3, " ?")</f>
        <v>#VALUE!</v>
      </c>
      <c r="BU4" s="2343" t="s">
        <v>454</v>
      </c>
      <c r="BV4" s="2191" t="s">
        <v>455</v>
      </c>
      <c r="BW4" s="2191" t="s">
        <v>456</v>
      </c>
      <c r="BX4" s="2191" t="s">
        <v>457</v>
      </c>
      <c r="BY4" s="2194"/>
      <c r="BZ4" s="2313" t="s">
        <v>458</v>
      </c>
      <c r="CA4" s="2191" t="s">
        <v>459</v>
      </c>
      <c r="CB4" s="2191" t="s">
        <v>460</v>
      </c>
      <c r="CC4" s="2191" t="s">
        <v>461</v>
      </c>
      <c r="CD4" s="2191" t="s">
        <v>462</v>
      </c>
      <c r="CE4" s="2191" t="s">
        <v>463</v>
      </c>
      <c r="CF4" s="2191" t="s">
        <v>464</v>
      </c>
      <c r="CG4" s="2174" t="s">
        <v>465</v>
      </c>
      <c r="CH4" s="2174" t="s">
        <v>466</v>
      </c>
    </row>
    <row r="5" spans="1:86" ht="13.5">
      <c r="A5" s="2194"/>
      <c r="B5" s="2227"/>
      <c r="C5" s="2177"/>
      <c r="D5" s="2178"/>
      <c r="E5" s="2190"/>
      <c r="F5" s="2177"/>
      <c r="G5" s="2178"/>
      <c r="H5" s="2190"/>
      <c r="I5" s="2300"/>
      <c r="J5" s="2301"/>
      <c r="K5" s="2302"/>
      <c r="L5" s="2172"/>
      <c r="M5" s="2173"/>
      <c r="N5" s="2172"/>
      <c r="O5" s="2186"/>
      <c r="P5" s="2186"/>
      <c r="Q5" s="2173"/>
      <c r="R5" s="2199"/>
      <c r="S5" s="2174"/>
      <c r="T5" s="2173"/>
      <c r="U5" s="2198"/>
      <c r="V5" s="2194"/>
      <c r="W5" s="2174"/>
      <c r="X5" s="2173"/>
      <c r="Y5" s="2173"/>
      <c r="Z5" s="2252"/>
      <c r="AA5" s="2253"/>
      <c r="AB5" s="2254"/>
      <c r="AC5" s="2254"/>
      <c r="AD5" s="2254"/>
      <c r="AE5" s="2254"/>
      <c r="AF5" s="2255"/>
      <c r="AG5" s="2237"/>
      <c r="AH5" s="2256"/>
      <c r="AI5" s="2257"/>
      <c r="AJ5" s="2257"/>
      <c r="AK5" s="2257"/>
      <c r="AL5" s="2257"/>
      <c r="AM5" s="2257"/>
      <c r="AN5" s="2257"/>
      <c r="AO5" s="2258"/>
      <c r="AP5" s="2174"/>
      <c r="AQ5" s="2174"/>
      <c r="AR5" s="2340"/>
      <c r="AS5" s="2339"/>
      <c r="AT5" s="2199"/>
      <c r="AU5" s="2199"/>
      <c r="AV5" s="2237"/>
      <c r="AW5" s="2217"/>
      <c r="AX5" s="2319"/>
      <c r="AY5" s="2319"/>
      <c r="AZ5" s="2342"/>
      <c r="BA5" s="2191"/>
      <c r="BB5" s="2191"/>
      <c r="BC5" s="2191"/>
      <c r="BD5" s="2194"/>
      <c r="BE5" s="2346"/>
      <c r="BF5" s="2217"/>
      <c r="BG5" s="2319"/>
      <c r="BH5" s="2319"/>
      <c r="BI5" s="2319"/>
      <c r="BJ5" s="2319"/>
      <c r="BK5" s="2319"/>
      <c r="BL5" s="2319"/>
      <c r="BM5" s="2319"/>
      <c r="BN5" s="2342"/>
      <c r="BO5" s="302"/>
      <c r="BP5" s="302"/>
      <c r="BQ5" s="153"/>
      <c r="BR5" s="419"/>
      <c r="BS5" s="2319"/>
      <c r="BT5" s="2231"/>
      <c r="BU5" s="2344"/>
      <c r="BV5" s="2191"/>
      <c r="BW5" s="2191"/>
      <c r="BX5" s="2191"/>
      <c r="BY5" s="2194"/>
      <c r="BZ5" s="2313"/>
      <c r="CA5" s="2191"/>
      <c r="CB5" s="2191"/>
      <c r="CC5" s="2191"/>
      <c r="CD5" s="2191"/>
      <c r="CE5" s="2191"/>
      <c r="CF5" s="2191"/>
      <c r="CG5" s="2174"/>
      <c r="CH5" s="2174"/>
    </row>
    <row r="6" spans="1:86" ht="13.5" customHeight="1">
      <c r="A6" s="2194"/>
      <c r="B6" s="2227"/>
      <c r="C6" s="2177"/>
      <c r="D6" s="2178"/>
      <c r="E6" s="2190"/>
      <c r="F6" s="2177"/>
      <c r="G6" s="2178"/>
      <c r="H6" s="2190"/>
      <c r="I6" s="2300"/>
      <c r="J6" s="2301"/>
      <c r="K6" s="2302"/>
      <c r="L6" s="2172"/>
      <c r="M6" s="2173"/>
      <c r="N6" s="2172"/>
      <c r="O6" s="2186"/>
      <c r="P6" s="2186"/>
      <c r="Q6" s="2173"/>
      <c r="R6" s="2199"/>
      <c r="S6" s="2174"/>
      <c r="T6" s="2173"/>
      <c r="U6" s="2198"/>
      <c r="V6" s="2194"/>
      <c r="W6" s="2174"/>
      <c r="X6" s="2173"/>
      <c r="Y6" s="2173"/>
      <c r="Z6" s="2252"/>
      <c r="AA6" s="2253"/>
      <c r="AB6" s="2254"/>
      <c r="AC6" s="2254"/>
      <c r="AD6" s="2254"/>
      <c r="AE6" s="2254"/>
      <c r="AF6" s="2255"/>
      <c r="AG6" s="2237"/>
      <c r="AH6" s="2256"/>
      <c r="AI6" s="2257"/>
      <c r="AJ6" s="2257"/>
      <c r="AK6" s="2257"/>
      <c r="AL6" s="2257"/>
      <c r="AM6" s="2257"/>
      <c r="AN6" s="2257"/>
      <c r="AO6" s="2258"/>
      <c r="AP6" s="2174"/>
      <c r="AQ6" s="2174"/>
      <c r="AR6" s="2340"/>
      <c r="AS6" s="2339"/>
      <c r="AT6" s="2199"/>
      <c r="AU6" s="2199"/>
      <c r="AV6" s="2237"/>
      <c r="AW6" s="2299" t="s">
        <v>467</v>
      </c>
      <c r="AX6" s="2299"/>
      <c r="AY6" s="2299"/>
      <c r="AZ6" s="2291"/>
      <c r="BA6" s="2191"/>
      <c r="BB6" s="2191"/>
      <c r="BC6" s="2191"/>
      <c r="BD6" s="2194"/>
      <c r="BE6" s="2346"/>
      <c r="BF6" s="2217"/>
      <c r="BG6" s="2319"/>
      <c r="BH6" s="2319"/>
      <c r="BI6" s="2319"/>
      <c r="BJ6" s="2319"/>
      <c r="BK6" s="2319"/>
      <c r="BL6" s="2319"/>
      <c r="BM6" s="2319"/>
      <c r="BN6" s="2342"/>
      <c r="BO6" s="302"/>
      <c r="BP6" s="302"/>
      <c r="BQ6" s="153"/>
      <c r="BR6" s="419"/>
      <c r="BS6" s="2319"/>
      <c r="BT6" s="2231"/>
      <c r="BU6" s="2344"/>
      <c r="BV6" s="2191"/>
      <c r="BW6" s="2191"/>
      <c r="BX6" s="2191"/>
      <c r="BY6" s="2194"/>
      <c r="BZ6" s="2313"/>
      <c r="CA6" s="2191"/>
      <c r="CB6" s="2191"/>
      <c r="CC6" s="2191"/>
      <c r="CD6" s="2191"/>
      <c r="CE6" s="2191"/>
      <c r="CF6" s="2191"/>
      <c r="CG6" s="2174"/>
      <c r="CH6" s="2174"/>
    </row>
    <row r="7" spans="1:86" ht="13.5" customHeight="1">
      <c r="A7" s="2194"/>
      <c r="B7" s="2227"/>
      <c r="C7" s="2177"/>
      <c r="D7" s="2178"/>
      <c r="E7" s="2190"/>
      <c r="F7" s="2177"/>
      <c r="G7" s="2178"/>
      <c r="H7" s="2190"/>
      <c r="I7" s="2300"/>
      <c r="J7" s="2301"/>
      <c r="K7" s="2302"/>
      <c r="L7" s="2172"/>
      <c r="M7" s="2173"/>
      <c r="N7" s="2172"/>
      <c r="O7" s="2186"/>
      <c r="P7" s="2186"/>
      <c r="Q7" s="2173"/>
      <c r="R7" s="2199"/>
      <c r="S7" s="2174"/>
      <c r="T7" s="2173"/>
      <c r="U7" s="2198"/>
      <c r="V7" s="2194"/>
      <c r="W7" s="2174"/>
      <c r="X7" s="2173"/>
      <c r="Y7" s="2173"/>
      <c r="Z7" s="2252"/>
      <c r="AA7" s="2253"/>
      <c r="AB7" s="2254"/>
      <c r="AC7" s="2254"/>
      <c r="AD7" s="2254"/>
      <c r="AE7" s="2254"/>
      <c r="AF7" s="2255"/>
      <c r="AG7" s="2237"/>
      <c r="AH7" s="2256"/>
      <c r="AI7" s="2257"/>
      <c r="AJ7" s="2257"/>
      <c r="AK7" s="2257"/>
      <c r="AL7" s="2257"/>
      <c r="AM7" s="2257"/>
      <c r="AN7" s="2257"/>
      <c r="AO7" s="2258"/>
      <c r="AP7" s="2341"/>
      <c r="AQ7" s="2174"/>
      <c r="AR7" s="2340"/>
      <c r="AS7" s="2339"/>
      <c r="AT7" s="2199"/>
      <c r="AU7" s="2199"/>
      <c r="AV7" s="2237"/>
      <c r="AW7" s="2299"/>
      <c r="AX7" s="2299"/>
      <c r="AY7" s="2299"/>
      <c r="AZ7" s="2291"/>
      <c r="BA7" s="2191"/>
      <c r="BB7" s="2191"/>
      <c r="BC7" s="2191"/>
      <c r="BD7" s="2194"/>
      <c r="BE7" s="2346"/>
      <c r="BF7" s="2217"/>
      <c r="BG7" s="2319"/>
      <c r="BH7" s="2319"/>
      <c r="BI7" s="2319"/>
      <c r="BJ7" s="2319"/>
      <c r="BK7" s="2319"/>
      <c r="BL7" s="2319"/>
      <c r="BM7" s="2319"/>
      <c r="BN7" s="2342"/>
      <c r="BO7" s="302"/>
      <c r="BP7" s="302"/>
      <c r="BQ7" s="153"/>
      <c r="BR7" s="419"/>
      <c r="BS7" s="2319"/>
      <c r="BT7" s="2231"/>
      <c r="BU7" s="2344"/>
      <c r="BV7" s="2191"/>
      <c r="BW7" s="2191"/>
      <c r="BX7" s="2191"/>
      <c r="BY7" s="2194"/>
      <c r="BZ7" s="2313"/>
      <c r="CA7" s="2191"/>
      <c r="CB7" s="2191"/>
      <c r="CC7" s="2191"/>
      <c r="CD7" s="2191"/>
      <c r="CE7" s="2191"/>
      <c r="CF7" s="2191"/>
      <c r="CG7" s="2174"/>
      <c r="CH7" s="2174"/>
    </row>
    <row r="8" spans="1:86" ht="35.25" customHeight="1">
      <c r="A8" s="2194"/>
      <c r="B8" s="2227"/>
      <c r="C8" s="170"/>
      <c r="D8" s="171"/>
      <c r="E8" s="172"/>
      <c r="F8" s="170"/>
      <c r="G8" s="171"/>
      <c r="H8" s="172"/>
      <c r="I8" s="1065"/>
      <c r="J8" s="39"/>
      <c r="K8" s="975"/>
      <c r="L8" s="2172"/>
      <c r="M8" s="2173"/>
      <c r="N8" s="2293" t="s">
        <v>468</v>
      </c>
      <c r="O8" s="2294"/>
      <c r="P8" s="2294"/>
      <c r="Q8" s="2295"/>
      <c r="R8" s="2199"/>
      <c r="S8" s="2174"/>
      <c r="T8" s="2173"/>
      <c r="U8" s="2198"/>
      <c r="V8" s="2194"/>
      <c r="W8" s="2174"/>
      <c r="X8" s="2173"/>
      <c r="Y8" s="2173"/>
      <c r="Z8" s="2252"/>
      <c r="AA8" s="2253"/>
      <c r="AB8" s="2254"/>
      <c r="AC8" s="2254"/>
      <c r="AD8" s="2254"/>
      <c r="AE8" s="2254"/>
      <c r="AF8" s="2255"/>
      <c r="AG8" s="2237"/>
      <c r="AH8" s="2256"/>
      <c r="AI8" s="2257"/>
      <c r="AJ8" s="2257"/>
      <c r="AK8" s="2257"/>
      <c r="AL8" s="2257"/>
      <c r="AM8" s="2257"/>
      <c r="AN8" s="2257"/>
      <c r="AO8" s="2258"/>
      <c r="AP8" s="2174"/>
      <c r="AQ8" s="303"/>
      <c r="AR8" s="2340"/>
      <c r="AS8" s="2339"/>
      <c r="AT8" s="2199"/>
      <c r="AU8" s="2199"/>
      <c r="AV8" s="2237"/>
      <c r="AW8" s="2299"/>
      <c r="AX8" s="2299"/>
      <c r="AY8" s="2299"/>
      <c r="AZ8" s="2291"/>
      <c r="BA8" s="2191"/>
      <c r="BB8" s="275"/>
      <c r="BC8" s="2191"/>
      <c r="BD8" s="2194"/>
      <c r="BE8" s="2346"/>
      <c r="BF8" s="2217"/>
      <c r="BG8" s="2319"/>
      <c r="BH8" s="2319"/>
      <c r="BI8" s="2319"/>
      <c r="BJ8" s="2319"/>
      <c r="BK8" s="2319"/>
      <c r="BL8" s="2319"/>
      <c r="BM8" s="2319"/>
      <c r="BN8" s="2342"/>
      <c r="BO8" s="304"/>
      <c r="BP8" s="304"/>
      <c r="BQ8" s="318"/>
      <c r="BR8" s="423"/>
      <c r="BS8" s="2319"/>
      <c r="BT8" s="2231"/>
      <c r="BU8" s="2344"/>
      <c r="BV8" s="2191"/>
      <c r="BW8" s="2191"/>
      <c r="BX8" s="2191"/>
      <c r="BY8" s="2194"/>
      <c r="BZ8" s="2313"/>
      <c r="CA8" s="2191"/>
      <c r="CB8" s="2191"/>
      <c r="CC8" s="2191"/>
      <c r="CD8" s="2191"/>
      <c r="CE8" s="31" t="s">
        <v>469</v>
      </c>
      <c r="CF8" s="2191"/>
      <c r="CG8" s="2174"/>
      <c r="CH8" s="44"/>
    </row>
    <row r="9" spans="1:86" ht="13.5" customHeight="1">
      <c r="A9" s="2194"/>
      <c r="B9" s="2227"/>
      <c r="C9" s="170"/>
      <c r="D9" s="171"/>
      <c r="E9" s="172"/>
      <c r="F9" s="170"/>
      <c r="G9" s="171"/>
      <c r="H9" s="172"/>
      <c r="I9" s="1065"/>
      <c r="J9" s="39"/>
      <c r="K9" s="975"/>
      <c r="L9" s="2172"/>
      <c r="M9" s="2173"/>
      <c r="N9" s="2172" t="s">
        <v>470</v>
      </c>
      <c r="O9" s="2186"/>
      <c r="P9" s="2186"/>
      <c r="Q9" s="2173"/>
      <c r="R9" s="2199"/>
      <c r="S9" s="2174"/>
      <c r="T9" s="2173"/>
      <c r="U9" s="2198"/>
      <c r="V9" s="2194"/>
      <c r="W9" s="2174"/>
      <c r="X9" s="24"/>
      <c r="Y9" s="849"/>
      <c r="Z9" s="2252"/>
      <c r="AA9" s="1052"/>
      <c r="AB9" s="41"/>
      <c r="AC9" s="41"/>
      <c r="AD9" s="763"/>
      <c r="AE9" s="763"/>
      <c r="AF9" s="1042"/>
      <c r="AG9" s="2237"/>
      <c r="AH9" s="688"/>
      <c r="AI9" s="41"/>
      <c r="AJ9" s="41"/>
      <c r="AK9" s="763"/>
      <c r="AL9" s="763"/>
      <c r="AM9" s="763"/>
      <c r="AN9" s="763"/>
      <c r="AO9" s="764"/>
      <c r="AP9" s="2174"/>
      <c r="AQ9" s="304" t="s">
        <v>471</v>
      </c>
      <c r="AR9" s="2340"/>
      <c r="AS9" s="2339"/>
      <c r="AT9" s="2199"/>
      <c r="AU9" s="2199" t="s">
        <v>472</v>
      </c>
      <c r="AV9" s="1035"/>
      <c r="AW9" s="2299"/>
      <c r="AX9" s="2299"/>
      <c r="AY9" s="2299"/>
      <c r="AZ9" s="2291"/>
      <c r="BA9" s="2191"/>
      <c r="BB9" s="275"/>
      <c r="BC9" s="2191"/>
      <c r="BD9" s="2194"/>
      <c r="BE9" s="325"/>
      <c r="BF9" s="303"/>
      <c r="BG9" s="269"/>
      <c r="BH9" s="269"/>
      <c r="BI9" s="305"/>
      <c r="BJ9" s="305"/>
      <c r="BK9" s="305"/>
      <c r="BL9" s="305"/>
      <c r="BM9" s="305"/>
      <c r="BN9" s="306"/>
      <c r="BO9" s="25" t="s">
        <v>473</v>
      </c>
      <c r="BP9" s="1416"/>
      <c r="BQ9" s="1418"/>
      <c r="BR9" s="764"/>
      <c r="BS9" s="24" t="s">
        <v>474</v>
      </c>
      <c r="BT9" s="2231"/>
      <c r="BU9" s="2344"/>
      <c r="BV9" s="2191"/>
      <c r="BW9" s="2191"/>
      <c r="BX9" s="2191"/>
      <c r="BY9" s="2194"/>
      <c r="BZ9" s="2313"/>
      <c r="CA9" s="2191"/>
      <c r="CB9" s="2191"/>
      <c r="CC9" s="2191"/>
      <c r="CD9" s="2191"/>
      <c r="CE9" s="117" t="s">
        <v>475</v>
      </c>
      <c r="CF9" s="2191"/>
      <c r="CG9" s="2174"/>
      <c r="CH9" s="307" t="s">
        <v>476</v>
      </c>
    </row>
    <row r="10" spans="1:86" ht="13.5" customHeight="1">
      <c r="A10" s="2194"/>
      <c r="B10" s="2227"/>
      <c r="C10" s="2177" t="s">
        <v>477</v>
      </c>
      <c r="D10" s="2178"/>
      <c r="E10" s="2190"/>
      <c r="F10" s="2177" t="s">
        <v>477</v>
      </c>
      <c r="G10" s="2178"/>
      <c r="H10" s="2190"/>
      <c r="I10" s="2177" t="s">
        <v>477</v>
      </c>
      <c r="J10" s="2178"/>
      <c r="K10" s="2190"/>
      <c r="L10" s="2172"/>
      <c r="M10" s="2173"/>
      <c r="N10" s="2298" t="s">
        <v>478</v>
      </c>
      <c r="O10" s="2299"/>
      <c r="P10" s="2299"/>
      <c r="Q10" s="2291"/>
      <c r="R10" s="2199"/>
      <c r="S10" s="2174"/>
      <c r="T10" s="2173"/>
      <c r="U10" s="2198"/>
      <c r="V10" s="2194"/>
      <c r="W10" s="2174"/>
      <c r="X10" s="24" t="s">
        <v>479</v>
      </c>
      <c r="Y10" s="1394"/>
      <c r="Z10" s="2252"/>
      <c r="AA10" s="2259" t="s">
        <v>480</v>
      </c>
      <c r="AB10" s="2260"/>
      <c r="AC10" s="2260"/>
      <c r="AD10" s="2260"/>
      <c r="AE10" s="2260"/>
      <c r="AF10" s="2261"/>
      <c r="AG10" s="1043"/>
      <c r="AH10" s="2262" t="s">
        <v>480</v>
      </c>
      <c r="AI10" s="2260"/>
      <c r="AJ10" s="2260"/>
      <c r="AK10" s="2260"/>
      <c r="AL10" s="2260"/>
      <c r="AM10" s="2260"/>
      <c r="AN10" s="2260"/>
      <c r="AO10" s="2263"/>
      <c r="AP10" s="2174" t="str">
        <f>CONCATENATE("1 Diplomado, estudos concluídos ►(",ROUND(AR3,2),")")</f>
        <v>1 Diplomado, estudos concluídos ►(2,12)</v>
      </c>
      <c r="AQ10" s="304" t="s">
        <v>481</v>
      </c>
      <c r="AR10" s="2340"/>
      <c r="AS10" s="2339"/>
      <c r="AT10" s="2199"/>
      <c r="AU10" s="2199"/>
      <c r="AV10" s="859" t="s">
        <v>106</v>
      </c>
      <c r="AW10" s="2299"/>
      <c r="AX10" s="2299"/>
      <c r="AY10" s="2299"/>
      <c r="AZ10" s="2291"/>
      <c r="BA10" s="2191"/>
      <c r="BB10" s="31" t="s">
        <v>469</v>
      </c>
      <c r="BC10" s="2191"/>
      <c r="BD10" s="2194"/>
      <c r="BE10" s="28"/>
      <c r="BF10" s="2316" t="s">
        <v>477</v>
      </c>
      <c r="BG10" s="2317"/>
      <c r="BH10" s="2317"/>
      <c r="BI10" s="2317"/>
      <c r="BJ10" s="2317"/>
      <c r="BK10" s="2317"/>
      <c r="BL10" s="2317"/>
      <c r="BM10" s="2317"/>
      <c r="BN10" s="2318"/>
      <c r="BO10" s="25" t="s">
        <v>482</v>
      </c>
      <c r="BP10" s="25"/>
      <c r="BQ10" s="27"/>
      <c r="BR10" s="26"/>
      <c r="BS10" s="119" t="s">
        <v>483</v>
      </c>
      <c r="BT10" s="2231"/>
      <c r="BU10" s="2344"/>
      <c r="BV10" s="2191"/>
      <c r="BW10" s="2191"/>
      <c r="BX10" s="2191"/>
      <c r="BY10" s="2194"/>
      <c r="BZ10" s="2313"/>
      <c r="CA10" s="2191"/>
      <c r="CB10" s="2191"/>
      <c r="CC10" s="2191"/>
      <c r="CD10" s="2191"/>
      <c r="CE10" s="85" t="s">
        <v>484</v>
      </c>
      <c r="CG10" s="2174"/>
      <c r="CH10" s="307" t="s">
        <v>485</v>
      </c>
    </row>
    <row r="11" spans="1:86" ht="13.5" customHeight="1">
      <c r="A11" s="2194"/>
      <c r="B11" s="2227"/>
      <c r="C11" s="2267" t="s">
        <v>486</v>
      </c>
      <c r="D11" s="2268"/>
      <c r="E11" s="2269"/>
      <c r="F11" s="2267" t="s">
        <v>486</v>
      </c>
      <c r="G11" s="2268"/>
      <c r="H11" s="2269"/>
      <c r="I11" s="2267" t="s">
        <v>486</v>
      </c>
      <c r="J11" s="2268"/>
      <c r="K11" s="2269"/>
      <c r="L11" s="170"/>
      <c r="M11" s="172"/>
      <c r="N11" s="2298" t="s">
        <v>487</v>
      </c>
      <c r="O11" s="2299"/>
      <c r="P11" s="2299"/>
      <c r="Q11" s="2291"/>
      <c r="R11" s="2199"/>
      <c r="S11" s="2174"/>
      <c r="T11" s="171"/>
      <c r="U11" s="2198"/>
      <c r="V11" s="2194"/>
      <c r="W11" s="2174"/>
      <c r="X11" s="119" t="s">
        <v>488</v>
      </c>
      <c r="Y11" s="1395"/>
      <c r="Z11" s="2252"/>
      <c r="AA11" s="2264" t="s">
        <v>489</v>
      </c>
      <c r="AB11" s="2265"/>
      <c r="AC11" s="2265"/>
      <c r="AD11" s="3162"/>
      <c r="AE11" s="3162"/>
      <c r="AF11" s="3163"/>
      <c r="AG11" s="1044"/>
      <c r="AH11" s="2266" t="s">
        <v>489</v>
      </c>
      <c r="AI11" s="2265"/>
      <c r="AJ11" s="2265"/>
      <c r="AK11" s="3162"/>
      <c r="AL11" s="3162"/>
      <c r="AM11" s="3162"/>
      <c r="AN11" s="3162"/>
      <c r="AO11" s="3164"/>
      <c r="AP11" s="2174"/>
      <c r="AQ11" s="304" t="s">
        <v>490</v>
      </c>
      <c r="AR11" s="308"/>
      <c r="AS11" s="309"/>
      <c r="AT11" s="2199"/>
      <c r="AU11" s="2199"/>
      <c r="AV11" s="859" t="s">
        <v>267</v>
      </c>
      <c r="AW11" s="2299"/>
      <c r="AX11" s="2299"/>
      <c r="AY11" s="2299"/>
      <c r="AZ11" s="2291"/>
      <c r="BA11" s="677"/>
      <c r="BB11" s="2191" t="s">
        <v>475</v>
      </c>
      <c r="BC11" s="31"/>
      <c r="BD11" s="2194"/>
      <c r="BE11" s="153"/>
      <c r="BF11" s="2332" t="s">
        <v>491</v>
      </c>
      <c r="BG11" s="2333"/>
      <c r="BH11" s="2333"/>
      <c r="BI11" s="3165"/>
      <c r="BJ11" s="3165"/>
      <c r="BK11" s="3165"/>
      <c r="BL11" s="3165"/>
      <c r="BM11" s="3165"/>
      <c r="BN11" s="3166"/>
      <c r="BO11" s="25" t="s">
        <v>492</v>
      </c>
      <c r="BP11" s="25"/>
      <c r="BQ11" s="27"/>
      <c r="BR11" s="26"/>
      <c r="BS11" s="2323" t="s">
        <v>493</v>
      </c>
      <c r="BT11" s="2231"/>
      <c r="BU11" s="2344"/>
      <c r="BV11" s="2191"/>
      <c r="BW11" s="2191"/>
      <c r="BX11" s="2191"/>
      <c r="BY11" s="2194"/>
      <c r="BZ11" s="2313"/>
      <c r="CA11" s="2191"/>
      <c r="CB11" s="2191"/>
      <c r="CC11" s="2191"/>
      <c r="CD11" s="772"/>
      <c r="CE11" s="117" t="s">
        <v>494</v>
      </c>
      <c r="CF11" s="31" t="s">
        <v>495</v>
      </c>
      <c r="CG11" s="159"/>
      <c r="CH11" s="307" t="s">
        <v>496</v>
      </c>
    </row>
    <row r="12" spans="1:86" ht="13.5" customHeight="1">
      <c r="A12" s="2194"/>
      <c r="B12" s="2227"/>
      <c r="C12" s="100" t="s">
        <v>263</v>
      </c>
      <c r="D12" s="100" t="s">
        <v>126</v>
      </c>
      <c r="E12" s="100" t="s">
        <v>148</v>
      </c>
      <c r="F12" s="100" t="s">
        <v>263</v>
      </c>
      <c r="G12" s="100" t="s">
        <v>126</v>
      </c>
      <c r="H12" s="100" t="s">
        <v>264</v>
      </c>
      <c r="I12" s="1066" t="s">
        <v>263</v>
      </c>
      <c r="J12" s="1066" t="s">
        <v>126</v>
      </c>
      <c r="K12" s="1067" t="s">
        <v>148</v>
      </c>
      <c r="L12" s="680"/>
      <c r="M12" s="681"/>
      <c r="N12" s="2298" t="s">
        <v>497</v>
      </c>
      <c r="O12" s="2299"/>
      <c r="P12" s="2299"/>
      <c r="Q12" s="2291"/>
      <c r="R12" s="2199"/>
      <c r="S12" s="310"/>
      <c r="T12" s="2291" t="s">
        <v>498</v>
      </c>
      <c r="U12" s="2198"/>
      <c r="V12" s="2194"/>
      <c r="W12" s="2174"/>
      <c r="X12" s="24" t="s">
        <v>499</v>
      </c>
      <c r="Y12" s="1396"/>
      <c r="Z12" s="1053"/>
      <c r="AA12" s="3167"/>
      <c r="AB12" s="3168"/>
      <c r="AC12" s="3168"/>
      <c r="AD12" s="3168"/>
      <c r="AE12" s="3168"/>
      <c r="AF12" s="3169"/>
      <c r="AG12" s="1044"/>
      <c r="AH12" s="3170"/>
      <c r="AI12" s="3162"/>
      <c r="AJ12" s="3162"/>
      <c r="AK12" s="3162"/>
      <c r="AL12" s="3162"/>
      <c r="AM12" s="3162"/>
      <c r="AN12" s="3162"/>
      <c r="AO12" s="3164"/>
      <c r="AP12" s="2335" t="str">
        <f>CONCATENATE("2 Passou para classe superior ►(",AR3,")")</f>
        <v>2 Passou para classe superior ►(2,12)</v>
      </c>
      <c r="AQ12" s="304" t="s">
        <v>500</v>
      </c>
      <c r="AR12" s="308"/>
      <c r="AS12" s="309"/>
      <c r="AT12" s="2199"/>
      <c r="AU12" s="1035"/>
      <c r="AV12" s="1035"/>
      <c r="AW12" s="2299"/>
      <c r="AX12" s="2299"/>
      <c r="AY12" s="2299"/>
      <c r="AZ12" s="2291"/>
      <c r="BA12" s="1077" t="str">
        <f>CONCATENATE("1 Pré-escolar ►(",TEXT(BC3,"0,00"),")")</f>
        <v>1 Pré-escolar ►(2,16)</v>
      </c>
      <c r="BB12" s="2191"/>
      <c r="BC12" s="31"/>
      <c r="BD12" s="2194"/>
      <c r="BE12" s="28" t="s">
        <v>501</v>
      </c>
      <c r="BF12" s="3171"/>
      <c r="BG12" s="3165"/>
      <c r="BH12" s="3165"/>
      <c r="BI12" s="3165"/>
      <c r="BJ12" s="3165"/>
      <c r="BK12" s="3165"/>
      <c r="BL12" s="3165"/>
      <c r="BM12" s="3165"/>
      <c r="BN12" s="3166"/>
      <c r="BO12" s="25" t="s">
        <v>502</v>
      </c>
      <c r="BP12" s="662"/>
      <c r="BQ12" s="215"/>
      <c r="BR12" s="652"/>
      <c r="BS12" s="2323"/>
      <c r="BT12" s="2231"/>
      <c r="BV12" s="2191"/>
      <c r="BW12" s="2191"/>
      <c r="BX12" s="2191"/>
      <c r="BY12" s="2194"/>
      <c r="BZ12" s="2313"/>
      <c r="CA12" s="275"/>
      <c r="CB12" s="275"/>
      <c r="CC12" s="2191"/>
      <c r="CD12" s="1077" t="str">
        <f>CONCATENATE("1 Pré-escolar ►(",TEXT(CF3,"0,00"),")")</f>
        <v>1 Pré-escolar ►(2,31)</v>
      </c>
      <c r="CE12" s="117" t="s">
        <v>503</v>
      </c>
      <c r="CF12" s="31" t="s">
        <v>504</v>
      </c>
      <c r="CG12" s="159"/>
      <c r="CH12" s="307" t="s">
        <v>505</v>
      </c>
    </row>
    <row r="13" spans="1:86" ht="13.5" customHeight="1">
      <c r="A13" s="2194"/>
      <c r="B13" s="2227"/>
      <c r="C13" s="2307" t="s">
        <v>506</v>
      </c>
      <c r="D13" s="2289" t="s">
        <v>507</v>
      </c>
      <c r="E13" s="2272" t="s">
        <v>508</v>
      </c>
      <c r="F13" s="2288" t="s">
        <v>506</v>
      </c>
      <c r="G13" s="312"/>
      <c r="H13" s="2272" t="s">
        <v>508</v>
      </c>
      <c r="I13" s="2272" t="s">
        <v>506</v>
      </c>
      <c r="J13" s="2272" t="s">
        <v>507</v>
      </c>
      <c r="K13" s="2272" t="s">
        <v>509</v>
      </c>
      <c r="L13" s="680"/>
      <c r="M13" s="681"/>
      <c r="N13" s="2298" t="s">
        <v>510</v>
      </c>
      <c r="O13" s="2299"/>
      <c r="P13" s="2299"/>
      <c r="Q13" s="2291"/>
      <c r="R13" s="1059"/>
      <c r="S13" s="313" t="s">
        <v>106</v>
      </c>
      <c r="T13" s="2291"/>
      <c r="U13" s="2198"/>
      <c r="V13" s="2194"/>
      <c r="W13" s="2334"/>
      <c r="X13" s="24" t="s">
        <v>511</v>
      </c>
      <c r="Y13" s="1396"/>
      <c r="Z13" s="766"/>
      <c r="AA13" s="1054" t="s">
        <v>263</v>
      </c>
      <c r="AB13" s="1045" t="s">
        <v>126</v>
      </c>
      <c r="AC13" s="1045" t="s">
        <v>148</v>
      </c>
      <c r="AD13" s="1045" t="s">
        <v>264</v>
      </c>
      <c r="AE13" s="1045" t="s">
        <v>265</v>
      </c>
      <c r="AF13" s="1046" t="s">
        <v>512</v>
      </c>
      <c r="AG13" s="1047"/>
      <c r="AH13" s="1048" t="s">
        <v>263</v>
      </c>
      <c r="AI13" s="1034" t="s">
        <v>126</v>
      </c>
      <c r="AJ13" s="1034" t="s">
        <v>148</v>
      </c>
      <c r="AK13" s="1034" t="s">
        <v>264</v>
      </c>
      <c r="AL13" s="1034" t="s">
        <v>265</v>
      </c>
      <c r="AM13" s="1034" t="s">
        <v>513</v>
      </c>
      <c r="AN13" s="1034" t="s">
        <v>514</v>
      </c>
      <c r="AO13" s="1034" t="s">
        <v>512</v>
      </c>
      <c r="AP13" s="2335"/>
      <c r="AQ13" s="44" t="s">
        <v>515</v>
      </c>
      <c r="AR13" s="304"/>
      <c r="AS13" s="314"/>
      <c r="AT13" s="1036"/>
      <c r="AU13" s="2199" t="s">
        <v>516</v>
      </c>
      <c r="AV13" s="1036"/>
      <c r="AW13" s="2299"/>
      <c r="AX13" s="2299"/>
      <c r="AY13" s="2299"/>
      <c r="AZ13" s="2291"/>
      <c r="BA13" s="1082" t="str">
        <f>CONCATENATE("2 Primário 1º ciclo ►(",TEXT(BC3,"0,00"),")")</f>
        <v>2 Primário 1º ciclo ►(2,16)</v>
      </c>
      <c r="BB13" s="2191"/>
      <c r="BC13" s="31" t="s">
        <v>495</v>
      </c>
      <c r="BD13" s="2194"/>
      <c r="BE13" s="28" t="s">
        <v>517</v>
      </c>
      <c r="BF13" s="315" t="s">
        <v>263</v>
      </c>
      <c r="BG13" s="316" t="s">
        <v>126</v>
      </c>
      <c r="BH13" s="316" t="s">
        <v>148</v>
      </c>
      <c r="BI13" s="316" t="s">
        <v>264</v>
      </c>
      <c r="BJ13" s="316" t="s">
        <v>265</v>
      </c>
      <c r="BK13" s="316" t="s">
        <v>513</v>
      </c>
      <c r="BL13" s="316" t="s">
        <v>514</v>
      </c>
      <c r="BM13" s="316" t="s">
        <v>512</v>
      </c>
      <c r="BN13" s="316" t="s">
        <v>518</v>
      </c>
      <c r="BO13" s="25" t="s">
        <v>519</v>
      </c>
      <c r="BP13" s="1034" t="s">
        <v>520</v>
      </c>
      <c r="BQ13" s="1034" t="s">
        <v>521</v>
      </c>
      <c r="BR13" s="1034" t="s">
        <v>522</v>
      </c>
      <c r="BS13" s="2191" t="s">
        <v>523</v>
      </c>
      <c r="BT13" s="2231"/>
      <c r="BV13" s="2191"/>
      <c r="BW13" s="2191"/>
      <c r="BX13" s="2191"/>
      <c r="BY13" s="2194"/>
      <c r="BZ13" s="2313"/>
      <c r="CA13" s="275"/>
      <c r="CB13" s="275"/>
      <c r="CC13" s="40"/>
      <c r="CD13" s="1082" t="str">
        <f>CONCATENATE("2 Primário 1º ciclo ►(",TEXT(CF3,"0,00"),")")</f>
        <v>2 Primário 1º ciclo ►(2,31)</v>
      </c>
      <c r="CE13" s="117" t="s">
        <v>524</v>
      </c>
      <c r="CF13" s="31" t="s">
        <v>525</v>
      </c>
      <c r="CG13" s="2181" t="s">
        <v>526</v>
      </c>
      <c r="CH13" s="307" t="s">
        <v>527</v>
      </c>
    </row>
    <row r="14" spans="1:86" ht="13.5" customHeight="1">
      <c r="A14" s="2194"/>
      <c r="B14" s="2227"/>
      <c r="C14" s="2307"/>
      <c r="D14" s="2289"/>
      <c r="E14" s="2272"/>
      <c r="F14" s="2270"/>
      <c r="G14" s="312"/>
      <c r="H14" s="2272"/>
      <c r="I14" s="2272"/>
      <c r="J14" s="2272"/>
      <c r="K14" s="2272"/>
      <c r="L14" s="304"/>
      <c r="M14" s="314"/>
      <c r="N14" s="2298" t="s">
        <v>528</v>
      </c>
      <c r="O14" s="2299"/>
      <c r="P14" s="2299"/>
      <c r="Q14" s="2291"/>
      <c r="R14" s="43"/>
      <c r="S14" s="2292" t="s">
        <v>529</v>
      </c>
      <c r="T14" s="2291" t="s">
        <v>530</v>
      </c>
      <c r="U14" s="317"/>
      <c r="V14" s="2194"/>
      <c r="W14" s="2334"/>
      <c r="X14" s="24" t="s">
        <v>531</v>
      </c>
      <c r="Y14" s="1395"/>
      <c r="Z14" s="806"/>
      <c r="AA14" s="2274" t="s">
        <v>532</v>
      </c>
      <c r="AB14" s="2274" t="s">
        <v>533</v>
      </c>
      <c r="AC14" s="2274" t="s">
        <v>534</v>
      </c>
      <c r="AD14" s="2274" t="s">
        <v>535</v>
      </c>
      <c r="AE14" s="2283" t="s">
        <v>536</v>
      </c>
      <c r="AF14" s="2284" t="s">
        <v>537</v>
      </c>
      <c r="AG14" s="1047"/>
      <c r="AH14" s="2274" t="s">
        <v>538</v>
      </c>
      <c r="AI14" s="2274" t="s">
        <v>539</v>
      </c>
      <c r="AJ14" s="2274" t="s">
        <v>540</v>
      </c>
      <c r="AK14" s="2274" t="s">
        <v>541</v>
      </c>
      <c r="AL14" s="2283" t="s">
        <v>542</v>
      </c>
      <c r="AM14" s="2274" t="s">
        <v>543</v>
      </c>
      <c r="AN14" s="2274" t="s">
        <v>544</v>
      </c>
      <c r="AO14" s="2274" t="s">
        <v>545</v>
      </c>
      <c r="AP14" s="318" t="str">
        <f>CONCATENATE("3 Reprovado, repetição►(",AR3,")")</f>
        <v>3 Reprovado, repetição►(2,12)</v>
      </c>
      <c r="AQ14" s="303" t="s">
        <v>546</v>
      </c>
      <c r="AR14" s="304"/>
      <c r="AS14" s="314"/>
      <c r="AT14" s="1036"/>
      <c r="AU14" s="2199"/>
      <c r="AV14" s="1036" t="str">
        <f>CONCATENATE("►► ","(",TEXT(CD3, "0,00"),")")</f>
        <v>►► (2,29)</v>
      </c>
      <c r="AW14" s="2299"/>
      <c r="AX14" s="2299"/>
      <c r="AY14" s="2299"/>
      <c r="AZ14" s="2291"/>
      <c r="BA14" s="2231" t="str">
        <f>CONCATENATE("3 Primário 2 ciclo (Pós Primário) Geral ►(",TEXT(BC3,"0,00"),")")</f>
        <v>3 Primário 2 ciclo (Pós Primário) Geral ►(2,16)</v>
      </c>
      <c r="BB14" s="2191"/>
      <c r="BC14" s="31" t="s">
        <v>504</v>
      </c>
      <c r="BD14" s="2194"/>
      <c r="BE14" s="28" t="s">
        <v>547</v>
      </c>
      <c r="BF14" s="2314" t="s">
        <v>548</v>
      </c>
      <c r="BG14" s="2314" t="s">
        <v>549</v>
      </c>
      <c r="BH14" s="2314" t="s">
        <v>550</v>
      </c>
      <c r="BI14" s="2314" t="s">
        <v>551</v>
      </c>
      <c r="BJ14" s="2288" t="s">
        <v>552</v>
      </c>
      <c r="BK14" s="2314" t="s">
        <v>553</v>
      </c>
      <c r="BL14" s="2314" t="s">
        <v>554</v>
      </c>
      <c r="BM14" s="2311" t="s">
        <v>555</v>
      </c>
      <c r="BN14" s="2314" t="s">
        <v>556</v>
      </c>
      <c r="BO14" s="304"/>
      <c r="BP14" s="2274" t="s">
        <v>557</v>
      </c>
      <c r="BQ14" s="2274" t="s">
        <v>558</v>
      </c>
      <c r="BR14" s="2274" t="s">
        <v>559</v>
      </c>
      <c r="BS14" s="2191"/>
      <c r="BT14" s="766"/>
      <c r="BV14" s="276"/>
      <c r="BW14" s="275"/>
      <c r="BX14" s="275"/>
      <c r="BY14" s="2194"/>
      <c r="BZ14" s="2313"/>
      <c r="CA14" s="275"/>
      <c r="CB14" s="275"/>
      <c r="CC14" s="319" t="s">
        <v>560</v>
      </c>
      <c r="CD14" s="2231" t="str">
        <f>CONCATENATE("3 Primário 2 ciclo (Pós Primário) Geral ►(",TEXT(CF3,"0,00"),")")</f>
        <v>3 Primário 2 ciclo (Pós Primário) Geral ►(2,31)</v>
      </c>
      <c r="CE14" s="31" t="s">
        <v>561</v>
      </c>
      <c r="CF14" s="31" t="s">
        <v>562</v>
      </c>
      <c r="CG14" s="2181"/>
      <c r="CH14" s="320" t="s">
        <v>563</v>
      </c>
    </row>
    <row r="15" spans="1:86" ht="33.75" customHeight="1">
      <c r="A15" s="2194"/>
      <c r="B15" s="2227"/>
      <c r="C15" s="2307"/>
      <c r="D15" s="2289"/>
      <c r="E15" s="2272"/>
      <c r="F15" s="2270"/>
      <c r="G15" s="2270" t="s">
        <v>507</v>
      </c>
      <c r="H15" s="2272"/>
      <c r="I15" s="2272"/>
      <c r="J15" s="2272"/>
      <c r="K15" s="2272"/>
      <c r="L15" s="304"/>
      <c r="M15" s="314"/>
      <c r="N15" s="2298" t="s">
        <v>564</v>
      </c>
      <c r="O15" s="2299"/>
      <c r="P15" s="2299"/>
      <c r="Q15" s="2291"/>
      <c r="R15" s="43"/>
      <c r="S15" s="2292"/>
      <c r="T15" s="2291"/>
      <c r="U15" s="318"/>
      <c r="V15" s="2194"/>
      <c r="W15" s="321" t="s">
        <v>106</v>
      </c>
      <c r="X15" s="153" t="s">
        <v>565</v>
      </c>
      <c r="Y15" s="1049" t="s">
        <v>106</v>
      </c>
      <c r="Z15" s="1047" t="s">
        <v>106</v>
      </c>
      <c r="AA15" s="2275"/>
      <c r="AB15" s="2275"/>
      <c r="AC15" s="2275"/>
      <c r="AD15" s="2275"/>
      <c r="AE15" s="2275"/>
      <c r="AF15" s="2285"/>
      <c r="AG15" s="1047" t="s">
        <v>106</v>
      </c>
      <c r="AH15" s="2275"/>
      <c r="AI15" s="2275"/>
      <c r="AJ15" s="2275"/>
      <c r="AK15" s="2275"/>
      <c r="AL15" s="2275"/>
      <c r="AM15" s="2275"/>
      <c r="AN15" s="2275"/>
      <c r="AO15" s="2275"/>
      <c r="AP15" s="318" t="str">
        <f>CONCATENATE("4 Reprovado, expulsão►(",AR3,")")</f>
        <v>4 Reprovado, expulsão►(2,12)</v>
      </c>
      <c r="AQ15" s="304" t="s">
        <v>566</v>
      </c>
      <c r="AR15" s="304"/>
      <c r="AS15" s="314"/>
      <c r="AT15" s="1036"/>
      <c r="AU15" s="2199"/>
      <c r="AV15" s="1036"/>
      <c r="AW15" s="2299"/>
      <c r="AX15" s="2299"/>
      <c r="AY15" s="2299"/>
      <c r="AZ15" s="2291"/>
      <c r="BA15" s="2231"/>
      <c r="BB15" s="85" t="s">
        <v>484</v>
      </c>
      <c r="BC15" s="31" t="s">
        <v>525</v>
      </c>
      <c r="BD15" s="2194"/>
      <c r="BE15" s="2352" t="s">
        <v>567</v>
      </c>
      <c r="BF15" s="2315"/>
      <c r="BG15" s="2315"/>
      <c r="BH15" s="2315"/>
      <c r="BI15" s="2315"/>
      <c r="BJ15" s="2315"/>
      <c r="BK15" s="2315"/>
      <c r="BL15" s="2315"/>
      <c r="BM15" s="2312"/>
      <c r="BN15" s="2315"/>
      <c r="BO15" s="304"/>
      <c r="BP15" s="2347"/>
      <c r="BQ15" s="2347"/>
      <c r="BR15" s="2347"/>
      <c r="BS15" s="25" t="s">
        <v>568</v>
      </c>
      <c r="BT15" s="2321" t="s">
        <v>569</v>
      </c>
      <c r="BU15" s="2327" t="s">
        <v>569</v>
      </c>
      <c r="BV15" s="2345" t="s">
        <v>569</v>
      </c>
      <c r="BW15" s="2321" t="s">
        <v>569</v>
      </c>
      <c r="BX15" s="2321" t="s">
        <v>569</v>
      </c>
      <c r="BY15" s="2194"/>
      <c r="BZ15" s="2321" t="s">
        <v>569</v>
      </c>
      <c r="CA15" s="2321" t="s">
        <v>569</v>
      </c>
      <c r="CB15" s="2321" t="s">
        <v>569</v>
      </c>
      <c r="CC15" s="319"/>
      <c r="CD15" s="2231"/>
      <c r="CE15" s="31" t="s">
        <v>570</v>
      </c>
      <c r="CF15" s="31" t="s">
        <v>571</v>
      </c>
      <c r="CG15" s="322"/>
      <c r="CH15" s="320" t="s">
        <v>572</v>
      </c>
    </row>
    <row r="16" spans="1:86" ht="25.5" customHeight="1">
      <c r="A16" s="2194"/>
      <c r="B16" s="2227"/>
      <c r="C16" s="2307"/>
      <c r="D16" s="2289"/>
      <c r="E16" s="2272"/>
      <c r="F16" s="2270"/>
      <c r="G16" s="2270"/>
      <c r="H16" s="2272"/>
      <c r="I16" s="2272"/>
      <c r="J16" s="2272"/>
      <c r="K16" s="2272"/>
      <c r="L16" s="2303" t="str">
        <f>CONCATENATE("1 Sim ►(",U3,")")</f>
        <v>1 Sim ►(2,07)</v>
      </c>
      <c r="M16" s="2309"/>
      <c r="N16" s="2298" t="s">
        <v>573</v>
      </c>
      <c r="O16" s="2299"/>
      <c r="P16" s="2299"/>
      <c r="Q16" s="2291"/>
      <c r="S16" s="313"/>
      <c r="T16" s="2292" t="s">
        <v>574</v>
      </c>
      <c r="U16" s="323"/>
      <c r="V16" s="2194"/>
      <c r="W16" s="321" t="s">
        <v>267</v>
      </c>
      <c r="X16" s="324"/>
      <c r="Y16" s="1049" t="str">
        <f>CONCATENATE("2 Não ►(",TEXT(AP3,"0,00"),")")</f>
        <v>2 Não ►(2,10)</v>
      </c>
      <c r="Z16" s="1049" t="str">
        <f>CONCATENATE("2 Não►(",AG3,")")</f>
        <v>2 Não►(2,09d)</v>
      </c>
      <c r="AA16" s="2275"/>
      <c r="AB16" s="2275"/>
      <c r="AC16" s="2275"/>
      <c r="AD16" s="2275"/>
      <c r="AE16" s="2275"/>
      <c r="AF16" s="2285"/>
      <c r="AG16" s="1049" t="str">
        <f>CONCATENATE("2 Não ►(",TEXT(AP3,"0,00"),")")</f>
        <v>2 Não ►(2,10)</v>
      </c>
      <c r="AH16" s="2275"/>
      <c r="AI16" s="2275"/>
      <c r="AJ16" s="2275"/>
      <c r="AK16" s="2275"/>
      <c r="AL16" s="2275"/>
      <c r="AM16" s="2275"/>
      <c r="AN16" s="2275"/>
      <c r="AO16" s="2275"/>
      <c r="AP16" s="178" t="s">
        <v>575</v>
      </c>
      <c r="AQ16" s="303" t="s">
        <v>576</v>
      </c>
      <c r="AR16" s="2303" t="str">
        <f>CONCATENATE("1 Sim ►(",BA3,")")</f>
        <v>1 Sim ►(2,14)</v>
      </c>
      <c r="AS16" s="2304"/>
      <c r="AT16" s="1037" t="s">
        <v>106</v>
      </c>
      <c r="AU16" s="1037" t="s">
        <v>577</v>
      </c>
      <c r="AV16" s="1037"/>
      <c r="AW16" s="2299"/>
      <c r="AX16" s="2299"/>
      <c r="AY16" s="2299"/>
      <c r="AZ16" s="2291"/>
      <c r="BA16" s="2231" t="str">
        <f>CONCATENATE("4 Primario 3 ciclo")</f>
        <v>4 Primario 3 ciclo</v>
      </c>
      <c r="BB16" s="2191" t="s">
        <v>494</v>
      </c>
      <c r="BC16" s="31" t="s">
        <v>562</v>
      </c>
      <c r="BD16" s="2194"/>
      <c r="BE16" s="2352"/>
      <c r="BF16" s="2315"/>
      <c r="BG16" s="2315"/>
      <c r="BH16" s="2315"/>
      <c r="BI16" s="2315"/>
      <c r="BJ16" s="2315"/>
      <c r="BK16" s="2315"/>
      <c r="BL16" s="2315"/>
      <c r="BM16" s="2312"/>
      <c r="BN16" s="2315"/>
      <c r="BO16" s="304"/>
      <c r="BP16" s="2347"/>
      <c r="BQ16" s="2347"/>
      <c r="BR16" s="2347"/>
      <c r="BS16" s="25" t="s">
        <v>578</v>
      </c>
      <c r="BT16" s="2321"/>
      <c r="BU16" s="2327"/>
      <c r="BV16" s="2345"/>
      <c r="BW16" s="2321"/>
      <c r="BX16" s="2321"/>
      <c r="BY16" s="2194"/>
      <c r="BZ16" s="2321"/>
      <c r="CA16" s="2321"/>
      <c r="CB16" s="2321"/>
      <c r="CC16" s="319"/>
      <c r="CD16" s="2231" t="str">
        <f>CONCATENATE("4  Primario 3 ciclo")</f>
        <v>4  Primario 3 ciclo</v>
      </c>
      <c r="CF16" s="31" t="s">
        <v>579</v>
      </c>
      <c r="CG16" s="325"/>
      <c r="CH16" s="320" t="s">
        <v>580</v>
      </c>
    </row>
    <row r="17" spans="1:87" ht="13.5" customHeight="1">
      <c r="A17" s="2194"/>
      <c r="B17" s="2227"/>
      <c r="C17" s="2307"/>
      <c r="D17" s="2289"/>
      <c r="E17" s="2272"/>
      <c r="F17" s="2270"/>
      <c r="G17" s="2270"/>
      <c r="H17" s="2272"/>
      <c r="I17" s="2272"/>
      <c r="J17" s="2272"/>
      <c r="K17" s="2272"/>
      <c r="L17" s="2303" t="s">
        <v>581</v>
      </c>
      <c r="M17" s="2309"/>
      <c r="N17" s="2298" t="s">
        <v>582</v>
      </c>
      <c r="O17" s="2299"/>
      <c r="P17" s="2299"/>
      <c r="Q17" s="2291"/>
      <c r="R17" s="1038" t="s">
        <v>106</v>
      </c>
      <c r="S17" s="313"/>
      <c r="T17" s="2292"/>
      <c r="U17" s="310"/>
      <c r="V17" s="2194"/>
      <c r="W17" s="28" t="str">
        <f>CONCATENATE("►(",AR3,")")</f>
        <v>►(2,12)</v>
      </c>
      <c r="X17" s="326"/>
      <c r="Y17" s="1395"/>
      <c r="Z17" s="1037"/>
      <c r="AA17" s="2275"/>
      <c r="AB17" s="2275"/>
      <c r="AC17" s="2275"/>
      <c r="AD17" s="2275"/>
      <c r="AE17" s="2275"/>
      <c r="AF17" s="2285"/>
      <c r="AG17" s="1050"/>
      <c r="AH17" s="2275"/>
      <c r="AI17" s="2275"/>
      <c r="AJ17" s="2275"/>
      <c r="AK17" s="2275"/>
      <c r="AL17" s="2275"/>
      <c r="AM17" s="2275"/>
      <c r="AN17" s="2275"/>
      <c r="AO17" s="2275"/>
      <c r="AQ17" s="2174" t="s">
        <v>583</v>
      </c>
      <c r="AR17" s="2336" t="s">
        <v>267</v>
      </c>
      <c r="AS17" s="2337"/>
      <c r="AT17" s="1039" t="str">
        <f>CONCATENATE("2 Não ►(", TEXT(AW3,"0,00"),")")</f>
        <v>2 Não ►(2,13)</v>
      </c>
      <c r="AU17" s="1039"/>
      <c r="AV17" s="1039"/>
      <c r="AW17" s="2299"/>
      <c r="AX17" s="2299"/>
      <c r="AY17" s="2299"/>
      <c r="AZ17" s="2291"/>
      <c r="BA17" s="2231"/>
      <c r="BB17" s="2191"/>
      <c r="BC17" s="31" t="s">
        <v>571</v>
      </c>
      <c r="BD17" s="2194"/>
      <c r="BE17" s="177"/>
      <c r="BF17" s="2315"/>
      <c r="BG17" s="2315"/>
      <c r="BH17" s="2315"/>
      <c r="BI17" s="2315"/>
      <c r="BJ17" s="2315"/>
      <c r="BK17" s="2315"/>
      <c r="BL17" s="2315"/>
      <c r="BM17" s="2312"/>
      <c r="BN17" s="2315"/>
      <c r="BO17" s="327"/>
      <c r="BP17" s="2347"/>
      <c r="BQ17" s="2347"/>
      <c r="BR17" s="2347"/>
      <c r="BS17" s="327"/>
      <c r="BT17" s="2321"/>
      <c r="BU17" s="2327"/>
      <c r="BV17" s="2345"/>
      <c r="BW17" s="2321"/>
      <c r="BX17" s="2321"/>
      <c r="BY17" s="2194"/>
      <c r="BZ17" s="2321"/>
      <c r="CA17" s="2321"/>
      <c r="CB17" s="2321"/>
      <c r="CC17" s="319"/>
      <c r="CD17" s="2231"/>
      <c r="CF17" s="31" t="s">
        <v>584</v>
      </c>
      <c r="CG17" s="325"/>
      <c r="CH17" s="320" t="s">
        <v>585</v>
      </c>
    </row>
    <row r="18" spans="1:87" ht="13.5" customHeight="1">
      <c r="A18" s="2194"/>
      <c r="B18" s="2227"/>
      <c r="C18" s="2307"/>
      <c r="D18" s="2289"/>
      <c r="E18" s="2272"/>
      <c r="F18" s="2270"/>
      <c r="G18" s="2270"/>
      <c r="H18" s="2272"/>
      <c r="I18" s="2272"/>
      <c r="J18" s="2272"/>
      <c r="K18" s="2272"/>
      <c r="L18" s="2296"/>
      <c r="M18" s="2297"/>
      <c r="N18" s="2293" t="s">
        <v>586</v>
      </c>
      <c r="O18" s="2294"/>
      <c r="P18" s="2294"/>
      <c r="Q18" s="2295"/>
      <c r="R18" s="1038" t="s">
        <v>267</v>
      </c>
      <c r="S18" s="118"/>
      <c r="T18" s="2286" t="s">
        <v>587</v>
      </c>
      <c r="U18" s="310"/>
      <c r="V18" s="2194"/>
      <c r="W18" s="28"/>
      <c r="X18" s="328"/>
      <c r="Y18" s="1395"/>
      <c r="Z18" s="1055"/>
      <c r="AA18" s="2275"/>
      <c r="AB18" s="2275"/>
      <c r="AC18" s="2275"/>
      <c r="AD18" s="2275"/>
      <c r="AE18" s="2275"/>
      <c r="AF18" s="2285"/>
      <c r="AG18" s="1040"/>
      <c r="AH18" s="2275"/>
      <c r="AI18" s="2275"/>
      <c r="AJ18" s="2275"/>
      <c r="AK18" s="2275"/>
      <c r="AL18" s="2275"/>
      <c r="AM18" s="2275"/>
      <c r="AN18" s="2275"/>
      <c r="AO18" s="2275"/>
      <c r="AP18" s="329"/>
      <c r="AQ18" s="2174"/>
      <c r="AR18" s="330"/>
      <c r="AS18" s="328"/>
      <c r="AT18" s="1040"/>
      <c r="AU18" s="1040"/>
      <c r="AV18" s="1040"/>
      <c r="AW18" s="2299"/>
      <c r="AX18" s="2299"/>
      <c r="AY18" s="2299"/>
      <c r="AZ18" s="2291"/>
      <c r="BA18" s="677" t="s">
        <v>588</v>
      </c>
      <c r="BB18" s="2191"/>
      <c r="BC18" s="31" t="s">
        <v>579</v>
      </c>
      <c r="BD18" s="2194"/>
      <c r="BE18" s="177"/>
      <c r="BF18" s="2315"/>
      <c r="BG18" s="2315"/>
      <c r="BH18" s="2315"/>
      <c r="BI18" s="2315"/>
      <c r="BJ18" s="2315"/>
      <c r="BK18" s="2315"/>
      <c r="BL18" s="2315"/>
      <c r="BM18" s="2312"/>
      <c r="BN18" s="2315"/>
      <c r="BO18" s="327"/>
      <c r="BP18" s="2347"/>
      <c r="BQ18" s="2347"/>
      <c r="BR18" s="2347"/>
      <c r="BS18" s="327"/>
      <c r="BT18" s="2321"/>
      <c r="BU18" s="2327"/>
      <c r="BV18" s="2345"/>
      <c r="BW18" s="2321"/>
      <c r="BX18" s="2321"/>
      <c r="BY18" s="2194"/>
      <c r="BZ18" s="2321"/>
      <c r="CA18" s="2321"/>
      <c r="CB18" s="2321"/>
      <c r="CC18" s="319"/>
      <c r="CD18" s="677" t="s">
        <v>589</v>
      </c>
      <c r="CF18" s="31" t="s">
        <v>590</v>
      </c>
      <c r="CG18" s="325"/>
      <c r="CH18" s="320" t="s">
        <v>591</v>
      </c>
    </row>
    <row r="19" spans="1:87" ht="13.5" customHeight="1">
      <c r="A19" s="2194"/>
      <c r="B19" s="2227"/>
      <c r="C19" s="2307"/>
      <c r="D19" s="2289"/>
      <c r="E19" s="2272"/>
      <c r="F19" s="2270"/>
      <c r="G19" s="2270"/>
      <c r="H19" s="2272"/>
      <c r="I19" s="2272"/>
      <c r="J19" s="2272"/>
      <c r="K19" s="2272"/>
      <c r="L19" s="2293"/>
      <c r="M19" s="2295"/>
      <c r="N19" s="2298" t="s">
        <v>592</v>
      </c>
      <c r="O19" s="2299"/>
      <c r="P19" s="2299"/>
      <c r="Q19" s="2291"/>
      <c r="R19" s="2287" t="s">
        <v>593</v>
      </c>
      <c r="S19" s="313"/>
      <c r="T19" s="2286"/>
      <c r="U19" s="310"/>
      <c r="V19" s="2194"/>
      <c r="W19" s="2181"/>
      <c r="X19" s="314"/>
      <c r="Y19" s="1395"/>
      <c r="Z19" s="1036"/>
      <c r="AA19" s="2275"/>
      <c r="AB19" s="2275"/>
      <c r="AC19" s="2275"/>
      <c r="AD19" s="2275"/>
      <c r="AE19" s="2275"/>
      <c r="AF19" s="2285"/>
      <c r="AG19" s="1036"/>
      <c r="AH19" s="2275"/>
      <c r="AI19" s="2275"/>
      <c r="AJ19" s="2275"/>
      <c r="AK19" s="2275"/>
      <c r="AL19" s="2275"/>
      <c r="AM19" s="2275"/>
      <c r="AN19" s="2275"/>
      <c r="AO19" s="2275"/>
      <c r="AP19" s="303"/>
      <c r="AQ19" s="2174" t="s">
        <v>594</v>
      </c>
      <c r="AR19" s="304"/>
      <c r="AS19" s="314"/>
      <c r="AT19" s="1036"/>
      <c r="AU19" s="1036"/>
      <c r="AV19" s="1036"/>
      <c r="AW19" s="2299"/>
      <c r="AX19" s="2299"/>
      <c r="AY19" s="2299"/>
      <c r="AZ19" s="2291"/>
      <c r="BA19" s="677" t="s">
        <v>595</v>
      </c>
      <c r="BB19" s="2191" t="s">
        <v>503</v>
      </c>
      <c r="BC19" s="31" t="s">
        <v>584</v>
      </c>
      <c r="BD19" s="2194"/>
      <c r="BE19" s="177"/>
      <c r="BF19" s="2315"/>
      <c r="BG19" s="2315"/>
      <c r="BH19" s="2315"/>
      <c r="BI19" s="2315"/>
      <c r="BJ19" s="2315"/>
      <c r="BK19" s="2315"/>
      <c r="BL19" s="2315"/>
      <c r="BM19" s="2312"/>
      <c r="BN19" s="2315"/>
      <c r="BO19" s="304"/>
      <c r="BP19" s="2347"/>
      <c r="BQ19" s="2347"/>
      <c r="BR19" s="2347"/>
      <c r="BS19" s="304"/>
      <c r="BT19" s="2321"/>
      <c r="BU19" s="2327"/>
      <c r="BV19" s="2345"/>
      <c r="BW19" s="2321"/>
      <c r="BX19" s="2321"/>
      <c r="BY19" s="2194"/>
      <c r="BZ19" s="2321"/>
      <c r="CA19" s="2321"/>
      <c r="CB19" s="2321"/>
      <c r="CC19" s="319"/>
      <c r="CD19" s="677" t="s">
        <v>595</v>
      </c>
      <c r="CF19" s="31" t="s">
        <v>596</v>
      </c>
      <c r="CG19" s="325"/>
      <c r="CH19" s="320" t="s">
        <v>597</v>
      </c>
    </row>
    <row r="20" spans="1:87" ht="15" customHeight="1">
      <c r="A20" s="2194"/>
      <c r="B20" s="2227"/>
      <c r="C20" s="2307"/>
      <c r="D20" s="2289"/>
      <c r="E20" s="2272"/>
      <c r="F20" s="2270"/>
      <c r="G20" s="2270"/>
      <c r="H20" s="2272"/>
      <c r="I20" s="2272"/>
      <c r="J20" s="2272"/>
      <c r="K20" s="2272"/>
      <c r="L20" s="2293"/>
      <c r="M20" s="2295"/>
      <c r="N20" s="2298" t="s">
        <v>598</v>
      </c>
      <c r="O20" s="2299"/>
      <c r="P20" s="2299"/>
      <c r="Q20" s="2291"/>
      <c r="R20" s="2287"/>
      <c r="S20" s="313"/>
      <c r="T20" s="331" t="s">
        <v>593</v>
      </c>
      <c r="U20" s="310"/>
      <c r="V20" s="2194"/>
      <c r="W20" s="2181"/>
      <c r="X20" s="314"/>
      <c r="Y20" s="1395"/>
      <c r="Z20" s="1036"/>
      <c r="AA20" s="2275"/>
      <c r="AB20" s="2275"/>
      <c r="AC20" s="2275"/>
      <c r="AD20" s="2275"/>
      <c r="AE20" s="2275"/>
      <c r="AF20" s="2285"/>
      <c r="AG20" s="1036"/>
      <c r="AH20" s="2275"/>
      <c r="AI20" s="2275"/>
      <c r="AJ20" s="2275"/>
      <c r="AK20" s="2275"/>
      <c r="AL20" s="2275"/>
      <c r="AM20" s="2275"/>
      <c r="AN20" s="2275"/>
      <c r="AO20" s="2275"/>
      <c r="AP20" s="303"/>
      <c r="AQ20" s="2174"/>
      <c r="AR20" s="304"/>
      <c r="AS20" s="314"/>
      <c r="AT20" s="1036"/>
      <c r="AU20" s="1036"/>
      <c r="AV20" s="1036"/>
      <c r="AW20" s="2299"/>
      <c r="AX20" s="2299"/>
      <c r="AY20" s="2299"/>
      <c r="AZ20" s="2291"/>
      <c r="BA20" s="2322" t="s">
        <v>599</v>
      </c>
      <c r="BB20" s="2191"/>
      <c r="BC20" s="31" t="s">
        <v>590</v>
      </c>
      <c r="BD20" s="2194"/>
      <c r="BE20" s="177"/>
      <c r="BF20" s="2315"/>
      <c r="BG20" s="2315"/>
      <c r="BH20" s="2315"/>
      <c r="BI20" s="2315"/>
      <c r="BJ20" s="2315"/>
      <c r="BK20" s="2315"/>
      <c r="BL20" s="2315"/>
      <c r="BM20" s="2312"/>
      <c r="BN20" s="2315"/>
      <c r="BO20" s="304"/>
      <c r="BP20" s="2347"/>
      <c r="BQ20" s="2347"/>
      <c r="BR20" s="2347"/>
      <c r="BS20" s="304"/>
      <c r="BT20" s="2321"/>
      <c r="BU20" s="2327"/>
      <c r="BV20" s="2345"/>
      <c r="BW20" s="2321"/>
      <c r="BX20" s="2321"/>
      <c r="BY20" s="2194"/>
      <c r="BZ20" s="2321"/>
      <c r="CA20" s="2321"/>
      <c r="CB20" s="2321"/>
      <c r="CC20" s="319"/>
      <c r="CD20" s="2322" t="s">
        <v>599</v>
      </c>
      <c r="CF20" s="677" t="s">
        <v>600</v>
      </c>
      <c r="CG20" s="325"/>
      <c r="CH20" s="275"/>
    </row>
    <row r="21" spans="1:87" ht="13.5" customHeight="1">
      <c r="A21" s="2194"/>
      <c r="B21" s="2227"/>
      <c r="C21" s="2307"/>
      <c r="D21" s="2289"/>
      <c r="E21" s="2272"/>
      <c r="F21" s="2270"/>
      <c r="G21" s="2270"/>
      <c r="H21" s="2272"/>
      <c r="I21" s="2272"/>
      <c r="J21" s="2272"/>
      <c r="K21" s="2272"/>
      <c r="L21" s="2293"/>
      <c r="M21" s="2295"/>
      <c r="N21" s="2298" t="s">
        <v>601</v>
      </c>
      <c r="O21" s="2299"/>
      <c r="P21" s="2299"/>
      <c r="Q21" s="2291"/>
      <c r="R21" s="925"/>
      <c r="S21" s="332"/>
      <c r="T21" s="333"/>
      <c r="U21" s="310"/>
      <c r="V21" s="2194"/>
      <c r="W21" s="28"/>
      <c r="X21" s="314"/>
      <c r="Y21" s="1395"/>
      <c r="Z21" s="1036"/>
      <c r="AA21" s="2275"/>
      <c r="AB21" s="2275"/>
      <c r="AC21" s="2275"/>
      <c r="AD21" s="2275"/>
      <c r="AE21" s="2275"/>
      <c r="AF21" s="2285"/>
      <c r="AG21" s="1036"/>
      <c r="AH21" s="2275"/>
      <c r="AI21" s="2275"/>
      <c r="AJ21" s="2275"/>
      <c r="AK21" s="2275"/>
      <c r="AL21" s="2275"/>
      <c r="AM21" s="2275"/>
      <c r="AN21" s="2275"/>
      <c r="AO21" s="2275"/>
      <c r="AP21" s="303"/>
      <c r="AQ21" s="44" t="s">
        <v>602</v>
      </c>
      <c r="AR21" s="304"/>
      <c r="AS21" s="314"/>
      <c r="AT21" s="1036"/>
      <c r="AU21" s="1036"/>
      <c r="AV21" s="1036"/>
      <c r="AW21" s="2299"/>
      <c r="AX21" s="2299"/>
      <c r="AY21" s="2299"/>
      <c r="AZ21" s="2291"/>
      <c r="BA21" s="2322"/>
      <c r="BB21" s="2191" t="s">
        <v>524</v>
      </c>
      <c r="BC21" s="31" t="s">
        <v>596</v>
      </c>
      <c r="BD21" s="2194"/>
      <c r="BE21" s="177"/>
      <c r="BF21" s="2315"/>
      <c r="BG21" s="2315"/>
      <c r="BH21" s="2315"/>
      <c r="BI21" s="2315"/>
      <c r="BJ21" s="2315"/>
      <c r="BK21" s="2315"/>
      <c r="BL21" s="2315"/>
      <c r="BM21" s="2312"/>
      <c r="BN21" s="2315"/>
      <c r="BO21" s="303"/>
      <c r="BP21" s="2347"/>
      <c r="BQ21" s="2347"/>
      <c r="BR21" s="2347"/>
      <c r="BS21" s="303"/>
      <c r="BT21" s="767"/>
      <c r="BU21" s="269"/>
      <c r="BV21" s="303"/>
      <c r="BW21" s="28"/>
      <c r="BX21" s="28"/>
      <c r="BY21" s="2194"/>
      <c r="BZ21" s="28"/>
      <c r="CA21" s="28"/>
      <c r="CB21" s="318"/>
      <c r="CC21" s="319"/>
      <c r="CD21" s="2322"/>
      <c r="CF21" s="31"/>
      <c r="CG21" s="325"/>
      <c r="CH21" s="28"/>
    </row>
    <row r="22" spans="1:87" ht="13.5" customHeight="1">
      <c r="A22" s="2194"/>
      <c r="B22" s="2227"/>
      <c r="C22" s="2307"/>
      <c r="D22" s="2289"/>
      <c r="E22" s="2272"/>
      <c r="F22" s="2270"/>
      <c r="G22" s="2270"/>
      <c r="H22" s="2272"/>
      <c r="I22" s="2272"/>
      <c r="J22" s="2272"/>
      <c r="K22" s="2272"/>
      <c r="L22" s="2293"/>
      <c r="M22" s="2295"/>
      <c r="N22" s="2277" t="s">
        <v>603</v>
      </c>
      <c r="O22" s="2278"/>
      <c r="P22" s="2278"/>
      <c r="Q22" s="2279"/>
      <c r="R22" s="925"/>
      <c r="S22" s="275"/>
      <c r="T22" s="333"/>
      <c r="U22" s="334"/>
      <c r="V22" s="2194"/>
      <c r="W22" s="28"/>
      <c r="X22" s="314"/>
      <c r="Y22" s="1395"/>
      <c r="Z22" s="1036"/>
      <c r="AA22" s="2275"/>
      <c r="AB22" s="2275"/>
      <c r="AC22" s="2275"/>
      <c r="AD22" s="2275"/>
      <c r="AE22" s="2275"/>
      <c r="AF22" s="2285"/>
      <c r="AG22" s="1036"/>
      <c r="AH22" s="2275"/>
      <c r="AI22" s="2275"/>
      <c r="AJ22" s="2275"/>
      <c r="AK22" s="2275"/>
      <c r="AL22" s="2275"/>
      <c r="AM22" s="2275"/>
      <c r="AN22" s="2275"/>
      <c r="AO22" s="2275"/>
      <c r="AP22" s="303"/>
      <c r="AQ22" s="44" t="s">
        <v>604</v>
      </c>
      <c r="AR22" s="304"/>
      <c r="AS22" s="314"/>
      <c r="AT22" s="1036"/>
      <c r="AU22" s="1036"/>
      <c r="AV22" s="1036"/>
      <c r="AW22" s="2299"/>
      <c r="AX22" s="2299"/>
      <c r="AY22" s="2299"/>
      <c r="AZ22" s="2291"/>
      <c r="BA22" s="2322"/>
      <c r="BB22" s="2191"/>
      <c r="BC22" s="31" t="s">
        <v>600</v>
      </c>
      <c r="BD22" s="2194"/>
      <c r="BE22" s="177"/>
      <c r="BF22" s="2315"/>
      <c r="BG22" s="2315"/>
      <c r="BH22" s="2315"/>
      <c r="BI22" s="2315"/>
      <c r="BJ22" s="2315"/>
      <c r="BK22" s="2315"/>
      <c r="BL22" s="2315"/>
      <c r="BM22" s="2312"/>
      <c r="BN22" s="2315"/>
      <c r="BO22" s="303"/>
      <c r="BP22" s="2347"/>
      <c r="BQ22" s="2347"/>
      <c r="BR22" s="2347"/>
      <c r="BS22" s="303"/>
      <c r="BT22" s="767"/>
      <c r="BU22" s="269"/>
      <c r="BV22" s="303"/>
      <c r="BW22" s="28"/>
      <c r="BX22" s="28"/>
      <c r="BY22" s="2194"/>
      <c r="BZ22" s="28"/>
      <c r="CA22" s="28"/>
      <c r="CB22" s="335"/>
      <c r="CC22" s="319"/>
      <c r="CD22" s="2322"/>
      <c r="CF22" s="31"/>
      <c r="CG22" s="325"/>
      <c r="CH22" s="28"/>
    </row>
    <row r="23" spans="1:87" ht="14.25" customHeight="1">
      <c r="A23" s="2194"/>
      <c r="B23" s="2227"/>
      <c r="C23" s="2307"/>
      <c r="D23" s="2289"/>
      <c r="E23" s="2272"/>
      <c r="F23" s="2270"/>
      <c r="G23" s="2270"/>
      <c r="H23" s="2272"/>
      <c r="I23" s="2272"/>
      <c r="J23" s="2272"/>
      <c r="K23" s="2272"/>
      <c r="L23" s="679"/>
      <c r="M23" s="336"/>
      <c r="N23" s="2280"/>
      <c r="O23" s="2281"/>
      <c r="P23" s="2281"/>
      <c r="Q23" s="2282"/>
      <c r="R23" s="925"/>
      <c r="S23" s="339"/>
      <c r="T23" s="340"/>
      <c r="U23" s="341"/>
      <c r="V23" s="2194"/>
      <c r="W23" s="28"/>
      <c r="X23" s="314"/>
      <c r="Y23" s="1397"/>
      <c r="Z23" s="1056"/>
      <c r="AA23" s="2275"/>
      <c r="AB23" s="2275"/>
      <c r="AC23" s="2275"/>
      <c r="AD23" s="2275"/>
      <c r="AE23" s="2275"/>
      <c r="AF23" s="2285"/>
      <c r="AG23" s="1036"/>
      <c r="AH23" s="2275"/>
      <c r="AI23" s="2275"/>
      <c r="AJ23" s="2275"/>
      <c r="AK23" s="2275"/>
      <c r="AL23" s="2275"/>
      <c r="AM23" s="2275"/>
      <c r="AN23" s="2275"/>
      <c r="AO23" s="2275"/>
      <c r="AP23" s="303"/>
      <c r="AQ23" s="848" t="s">
        <v>605</v>
      </c>
      <c r="AR23" s="304"/>
      <c r="AS23" s="314"/>
      <c r="AT23" s="1036"/>
      <c r="AU23" s="1036"/>
      <c r="AV23" s="1036"/>
      <c r="AW23" s="2299"/>
      <c r="AX23" s="2299"/>
      <c r="AY23" s="2299"/>
      <c r="AZ23" s="2291"/>
      <c r="BA23" s="1077" t="str">
        <f>CONCATENATE("8 Superior ")</f>
        <v xml:space="preserve">8 Superior </v>
      </c>
      <c r="BB23" s="31" t="s">
        <v>561</v>
      </c>
      <c r="BC23" s="342"/>
      <c r="BD23" s="2194"/>
      <c r="BE23" s="177"/>
      <c r="BF23" s="2315"/>
      <c r="BG23" s="2315"/>
      <c r="BH23" s="2315"/>
      <c r="BI23" s="2315"/>
      <c r="BJ23" s="2315"/>
      <c r="BK23" s="2315"/>
      <c r="BL23" s="2315"/>
      <c r="BM23" s="2312"/>
      <c r="BN23" s="2315"/>
      <c r="BO23" s="303"/>
      <c r="BP23" s="2347"/>
      <c r="BQ23" s="2347"/>
      <c r="BR23" s="2347"/>
      <c r="BS23" s="303"/>
      <c r="BT23" s="768"/>
      <c r="BU23" s="269"/>
      <c r="BV23" s="343"/>
      <c r="BW23" s="217"/>
      <c r="BX23" s="217"/>
      <c r="BY23" s="2194"/>
      <c r="BZ23" s="217"/>
      <c r="CA23" s="217"/>
      <c r="CB23" s="344"/>
      <c r="CC23" s="345" t="str">
        <f>CONCATENATE("►► (",ROUND(CH3,2),")")</f>
        <v>►► (2,33)</v>
      </c>
      <c r="CD23" s="1077" t="str">
        <f>CONCATENATE("8 Superior ")</f>
        <v xml:space="preserve">8 Superior </v>
      </c>
      <c r="CE23" s="31"/>
      <c r="CF23" s="342"/>
      <c r="CG23" s="346"/>
      <c r="CH23" s="217"/>
    </row>
    <row r="24" spans="1:87" ht="14.25" customHeight="1" thickBot="1">
      <c r="A24" s="2194"/>
      <c r="B24" s="347"/>
      <c r="C24" s="2307"/>
      <c r="D24" s="2289"/>
      <c r="E24" s="2272"/>
      <c r="F24" s="2270"/>
      <c r="G24" s="2270"/>
      <c r="H24" s="2272"/>
      <c r="I24" s="2272"/>
      <c r="J24" s="2272"/>
      <c r="K24" s="2272"/>
      <c r="L24" s="679"/>
      <c r="M24" s="336"/>
      <c r="N24" s="348"/>
      <c r="O24" s="349"/>
      <c r="P24" s="349"/>
      <c r="Q24" s="350"/>
      <c r="S24" s="324"/>
      <c r="T24" s="336"/>
      <c r="U24" s="334"/>
      <c r="V24" s="2194"/>
      <c r="W24" s="28"/>
      <c r="X24" s="314"/>
      <c r="Y24" s="1398"/>
      <c r="Z24" s="1057"/>
      <c r="AA24" s="2275"/>
      <c r="AB24" s="2275"/>
      <c r="AC24" s="2275"/>
      <c r="AD24" s="2275"/>
      <c r="AE24" s="2275"/>
      <c r="AF24" s="2285"/>
      <c r="AG24" s="1051"/>
      <c r="AH24" s="2276"/>
      <c r="AI24" s="2276"/>
      <c r="AJ24" s="2276"/>
      <c r="AK24" s="2276"/>
      <c r="AL24" s="2276"/>
      <c r="AM24" s="2276"/>
      <c r="AN24" s="2276"/>
      <c r="AO24" s="2276"/>
      <c r="AP24" s="303"/>
      <c r="AQ24" s="848" t="s">
        <v>606</v>
      </c>
      <c r="AR24" s="304"/>
      <c r="AS24" s="314"/>
      <c r="AT24" s="1041"/>
      <c r="AU24" s="1041"/>
      <c r="AV24" s="1041"/>
      <c r="AW24" s="2328" t="str">
        <f>CONCATENATE("►► ","(",ROUND(CD3, 2),")")</f>
        <v>►► (2,29)</v>
      </c>
      <c r="AX24" s="2328"/>
      <c r="AY24" s="2328"/>
      <c r="AZ24" s="2329"/>
      <c r="BA24" s="763"/>
      <c r="BB24" s="31" t="s">
        <v>570</v>
      </c>
      <c r="BC24" s="31"/>
      <c r="BD24" s="2194"/>
      <c r="BE24" s="177"/>
      <c r="BF24" s="2315"/>
      <c r="BG24" s="2315"/>
      <c r="BH24" s="2315"/>
      <c r="BI24" s="2315"/>
      <c r="BJ24" s="2315"/>
      <c r="BK24" s="2315"/>
      <c r="BL24" s="2315"/>
      <c r="BM24" s="2312"/>
      <c r="BN24" s="2315"/>
      <c r="BO24" s="303"/>
      <c r="BP24" s="2347"/>
      <c r="BQ24" s="2347"/>
      <c r="BR24" s="2347"/>
      <c r="BS24" s="303"/>
      <c r="BT24" s="770"/>
      <c r="BU24" s="269"/>
      <c r="BV24" s="303"/>
      <c r="BW24" s="28"/>
      <c r="BX24" s="28"/>
      <c r="BY24" s="2194"/>
      <c r="BZ24" s="28"/>
      <c r="CA24" s="28"/>
      <c r="CB24" s="318"/>
      <c r="CC24" s="335"/>
      <c r="CD24" s="773"/>
      <c r="CE24" s="31"/>
      <c r="CF24" s="31"/>
      <c r="CG24" s="352"/>
      <c r="CH24" s="28"/>
    </row>
    <row r="25" spans="1:87" ht="12.75" customHeight="1" thickTop="1" thickBot="1">
      <c r="A25" s="2195"/>
      <c r="B25" s="353" t="s">
        <v>187</v>
      </c>
      <c r="C25" s="2308"/>
      <c r="D25" s="2290"/>
      <c r="E25" s="2273"/>
      <c r="F25" s="2271"/>
      <c r="G25" s="2271"/>
      <c r="H25" s="2273"/>
      <c r="I25" s="2273"/>
      <c r="J25" s="2273"/>
      <c r="K25" s="2273"/>
      <c r="L25" s="2305" t="s">
        <v>420</v>
      </c>
      <c r="M25" s="2306"/>
      <c r="N25" s="2305" t="s">
        <v>420</v>
      </c>
      <c r="O25" s="2310"/>
      <c r="P25" s="2310"/>
      <c r="Q25" s="2306"/>
      <c r="R25" s="354" t="s">
        <v>420</v>
      </c>
      <c r="S25" s="354" t="s">
        <v>420</v>
      </c>
      <c r="T25" s="355" t="s">
        <v>420</v>
      </c>
      <c r="U25" s="354" t="s">
        <v>424</v>
      </c>
      <c r="V25" s="2195"/>
      <c r="W25" s="356" t="s">
        <v>420</v>
      </c>
      <c r="X25" s="357" t="s">
        <v>420</v>
      </c>
      <c r="Y25" s="758" t="s">
        <v>420</v>
      </c>
      <c r="Z25" s="758" t="s">
        <v>420</v>
      </c>
      <c r="AA25" s="732"/>
      <c r="AB25" s="739"/>
      <c r="AC25" s="739"/>
      <c r="AD25" s="732"/>
      <c r="AE25" s="732"/>
      <c r="AF25" s="732"/>
      <c r="AG25" s="759" t="s">
        <v>420</v>
      </c>
      <c r="AH25" s="750"/>
      <c r="AI25" s="750"/>
      <c r="AJ25" s="750"/>
      <c r="AK25" s="750"/>
      <c r="AL25" s="750"/>
      <c r="AM25" s="750"/>
      <c r="AN25" s="750"/>
      <c r="AO25" s="750"/>
      <c r="AP25" s="358" t="s">
        <v>420</v>
      </c>
      <c r="AQ25" s="857" t="s">
        <v>420</v>
      </c>
      <c r="AR25" s="2330" t="s">
        <v>420</v>
      </c>
      <c r="AS25" s="2331"/>
      <c r="AT25" s="762" t="s">
        <v>420</v>
      </c>
      <c r="AU25" s="762" t="s">
        <v>420</v>
      </c>
      <c r="AV25" s="762" t="s">
        <v>420</v>
      </c>
      <c r="AW25" s="2349" t="s">
        <v>420</v>
      </c>
      <c r="AX25" s="2350"/>
      <c r="AY25" s="2350"/>
      <c r="AZ25" s="2351"/>
      <c r="BA25" s="359" t="s">
        <v>420</v>
      </c>
      <c r="BB25" s="359" t="s">
        <v>420</v>
      </c>
      <c r="BC25" s="359" t="s">
        <v>420</v>
      </c>
      <c r="BD25" s="2195"/>
      <c r="BE25" s="359" t="s">
        <v>420</v>
      </c>
      <c r="BF25" s="2315"/>
      <c r="BG25" s="2315"/>
      <c r="BH25" s="2315"/>
      <c r="BI25" s="2315"/>
      <c r="BJ25" s="2315"/>
      <c r="BK25" s="2315"/>
      <c r="BL25" s="2315"/>
      <c r="BM25" s="2312"/>
      <c r="BN25" s="2315"/>
      <c r="BO25" s="351"/>
      <c r="BP25" s="2348"/>
      <c r="BQ25" s="2348"/>
      <c r="BR25" s="2348"/>
      <c r="BS25" s="354" t="s">
        <v>420</v>
      </c>
      <c r="BT25" s="358" t="s">
        <v>607</v>
      </c>
      <c r="BU25" s="358" t="s">
        <v>607</v>
      </c>
      <c r="BV25" s="358" t="s">
        <v>607</v>
      </c>
      <c r="BW25" s="358" t="s">
        <v>607</v>
      </c>
      <c r="BX25" s="358" t="s">
        <v>607</v>
      </c>
      <c r="BY25" s="2195"/>
      <c r="BZ25" s="332" t="s">
        <v>607</v>
      </c>
      <c r="CA25" s="332" t="s">
        <v>607</v>
      </c>
      <c r="CB25" s="358" t="s">
        <v>607</v>
      </c>
      <c r="CC25" s="358" t="s">
        <v>607</v>
      </c>
      <c r="CD25" s="357" t="s">
        <v>420</v>
      </c>
      <c r="CE25" s="359" t="s">
        <v>420</v>
      </c>
      <c r="CF25" s="360" t="s">
        <v>420</v>
      </c>
      <c r="CG25" s="361" t="s">
        <v>422</v>
      </c>
      <c r="CH25" s="362" t="s">
        <v>420</v>
      </c>
      <c r="CI25" s="363"/>
    </row>
    <row r="26" spans="1:87" ht="14.25" customHeight="1" thickTop="1">
      <c r="A26" s="231">
        <v>1</v>
      </c>
      <c r="B26" s="364"/>
      <c r="C26" s="365"/>
      <c r="D26" s="338"/>
      <c r="E26" s="365"/>
      <c r="F26" s="365"/>
      <c r="G26" s="366"/>
      <c r="H26" s="365"/>
      <c r="I26" s="734"/>
      <c r="J26" s="735"/>
      <c r="K26" s="734"/>
      <c r="L26" s="367"/>
      <c r="M26" s="368"/>
      <c r="N26" s="337"/>
      <c r="O26" s="288"/>
      <c r="P26" s="288"/>
      <c r="Q26" s="338"/>
      <c r="R26" s="735"/>
      <c r="S26" s="339"/>
      <c r="T26" s="288"/>
      <c r="U26" s="369"/>
      <c r="V26" s="231">
        <v>1</v>
      </c>
      <c r="W26" s="365"/>
      <c r="X26" s="370"/>
      <c r="Y26" s="751"/>
      <c r="Z26" s="754"/>
      <c r="AA26" s="736"/>
      <c r="AB26" s="752"/>
      <c r="AC26" s="752"/>
      <c r="AD26" s="736"/>
      <c r="AE26" s="736"/>
      <c r="AF26" s="736"/>
      <c r="AG26" s="754"/>
      <c r="AH26" s="753"/>
      <c r="AI26" s="753"/>
      <c r="AJ26" s="753"/>
      <c r="AK26" s="753"/>
      <c r="AL26" s="753"/>
      <c r="AM26" s="753"/>
      <c r="AN26" s="753"/>
      <c r="AO26" s="753"/>
      <c r="AP26" s="365"/>
      <c r="AQ26" s="367"/>
      <c r="AR26" s="367"/>
      <c r="AS26" s="368"/>
      <c r="AT26" s="737"/>
      <c r="AU26" s="737"/>
      <c r="AV26" s="737"/>
      <c r="AW26" s="288"/>
      <c r="AX26" s="288"/>
      <c r="AY26" s="371"/>
      <c r="AZ26" s="338"/>
      <c r="BA26" s="365"/>
      <c r="BB26" s="365"/>
      <c r="BC26" s="365"/>
      <c r="BD26" s="231">
        <v>1</v>
      </c>
      <c r="BE26" s="372"/>
      <c r="BF26" s="373"/>
      <c r="BG26" s="373"/>
      <c r="BH26" s="373"/>
      <c r="BI26" s="365"/>
      <c r="BJ26" s="365"/>
      <c r="BK26" s="365"/>
      <c r="BL26" s="365"/>
      <c r="BM26" s="365"/>
      <c r="BN26" s="365"/>
      <c r="BO26" s="370"/>
      <c r="BP26" s="736"/>
      <c r="BQ26" s="736"/>
      <c r="BR26" s="736"/>
      <c r="BS26" s="365"/>
      <c r="BT26" s="736"/>
      <c r="BU26" s="365"/>
      <c r="BV26" s="365"/>
      <c r="BW26" s="365"/>
      <c r="BX26" s="365"/>
      <c r="BY26" s="231">
        <v>1</v>
      </c>
      <c r="BZ26" s="365"/>
      <c r="CA26" s="365"/>
      <c r="CB26" s="365"/>
      <c r="CC26" s="365"/>
      <c r="CD26" s="365"/>
      <c r="CE26" s="374"/>
      <c r="CF26" s="374"/>
      <c r="CG26" s="365"/>
      <c r="CH26" s="375"/>
    </row>
    <row r="27" spans="1:87" ht="14.25" customHeight="1">
      <c r="A27" s="257">
        <v>2</v>
      </c>
      <c r="B27" s="376"/>
      <c r="C27" s="372"/>
      <c r="D27" s="377"/>
      <c r="E27" s="372"/>
      <c r="F27" s="372"/>
      <c r="G27" s="378"/>
      <c r="H27" s="372"/>
      <c r="I27" s="734"/>
      <c r="J27" s="735"/>
      <c r="K27" s="734"/>
      <c r="L27" s="379"/>
      <c r="M27" s="377"/>
      <c r="N27" s="379"/>
      <c r="O27" s="380"/>
      <c r="P27" s="380"/>
      <c r="Q27" s="377"/>
      <c r="R27" s="737"/>
      <c r="S27" s="381"/>
      <c r="T27" s="380"/>
      <c r="U27" s="381"/>
      <c r="V27" s="257">
        <v>2</v>
      </c>
      <c r="W27" s="372"/>
      <c r="X27" s="382"/>
      <c r="Y27" s="751"/>
      <c r="Z27" s="751"/>
      <c r="AA27" s="736"/>
      <c r="AB27" s="752"/>
      <c r="AC27" s="752"/>
      <c r="AD27" s="736"/>
      <c r="AE27" s="736"/>
      <c r="AF27" s="736"/>
      <c r="AG27" s="751"/>
      <c r="AH27" s="753"/>
      <c r="AI27" s="753"/>
      <c r="AJ27" s="753"/>
      <c r="AK27" s="753"/>
      <c r="AL27" s="753"/>
      <c r="AM27" s="753"/>
      <c r="AN27" s="753"/>
      <c r="AO27" s="753"/>
      <c r="AP27" s="372"/>
      <c r="AQ27" s="379"/>
      <c r="AR27" s="379"/>
      <c r="AS27" s="377"/>
      <c r="AT27" s="737"/>
      <c r="AU27" s="737"/>
      <c r="AV27" s="737"/>
      <c r="AW27" s="383"/>
      <c r="AX27" s="383"/>
      <c r="AY27" s="384"/>
      <c r="AZ27" s="385"/>
      <c r="BA27" s="372"/>
      <c r="BB27" s="386"/>
      <c r="BC27" s="386"/>
      <c r="BD27" s="257">
        <v>2</v>
      </c>
      <c r="BE27" s="372"/>
      <c r="BF27" s="387"/>
      <c r="BG27" s="387"/>
      <c r="BH27" s="387"/>
      <c r="BI27" s="386"/>
      <c r="BJ27" s="386"/>
      <c r="BK27" s="386"/>
      <c r="BL27" s="386"/>
      <c r="BM27" s="386"/>
      <c r="BN27" s="386"/>
      <c r="BO27" s="384"/>
      <c r="BP27" s="736"/>
      <c r="BQ27" s="736"/>
      <c r="BR27" s="736"/>
      <c r="BS27" s="386"/>
      <c r="BT27" s="736"/>
      <c r="BU27" s="386"/>
      <c r="BV27" s="388"/>
      <c r="BW27" s="388"/>
      <c r="BX27" s="388"/>
      <c r="BY27" s="257">
        <v>2</v>
      </c>
      <c r="BZ27" s="388"/>
      <c r="CA27" s="388"/>
      <c r="CB27" s="388"/>
      <c r="CC27" s="388"/>
      <c r="CD27" s="372"/>
      <c r="CE27" s="385"/>
      <c r="CF27" s="385"/>
      <c r="CG27" s="388"/>
      <c r="CH27" s="388"/>
    </row>
    <row r="28" spans="1:87" ht="14.25" customHeight="1">
      <c r="A28" s="257">
        <v>3</v>
      </c>
      <c r="B28" s="376"/>
      <c r="C28" s="372"/>
      <c r="D28" s="377"/>
      <c r="E28" s="372"/>
      <c r="F28" s="372"/>
      <c r="G28" s="378"/>
      <c r="H28" s="372"/>
      <c r="I28" s="734"/>
      <c r="J28" s="735"/>
      <c r="K28" s="734"/>
      <c r="L28" s="379"/>
      <c r="M28" s="377"/>
      <c r="N28" s="389"/>
      <c r="O28" s="383"/>
      <c r="P28" s="383"/>
      <c r="Q28" s="385"/>
      <c r="R28" s="737"/>
      <c r="S28" s="388"/>
      <c r="T28" s="383"/>
      <c r="U28" s="381"/>
      <c r="V28" s="257">
        <v>3</v>
      </c>
      <c r="W28" s="372"/>
      <c r="X28" s="382"/>
      <c r="Y28" s="751"/>
      <c r="Z28" s="751"/>
      <c r="AA28" s="736"/>
      <c r="AB28" s="752"/>
      <c r="AC28" s="752"/>
      <c r="AD28" s="736"/>
      <c r="AE28" s="736"/>
      <c r="AF28" s="736"/>
      <c r="AG28" s="751"/>
      <c r="AH28" s="753"/>
      <c r="AI28" s="753"/>
      <c r="AJ28" s="753"/>
      <c r="AK28" s="753"/>
      <c r="AL28" s="753"/>
      <c r="AM28" s="753"/>
      <c r="AN28" s="753"/>
      <c r="AO28" s="753"/>
      <c r="AP28" s="372"/>
      <c r="AQ28" s="379"/>
      <c r="AR28" s="379"/>
      <c r="AS28" s="377"/>
      <c r="AT28" s="737"/>
      <c r="AU28" s="737"/>
      <c r="AV28" s="737"/>
      <c r="AW28" s="383"/>
      <c r="AX28" s="383"/>
      <c r="AY28" s="384"/>
      <c r="AZ28" s="385"/>
      <c r="BA28" s="372"/>
      <c r="BB28" s="386"/>
      <c r="BC28" s="386"/>
      <c r="BD28" s="257">
        <v>3</v>
      </c>
      <c r="BE28" s="372"/>
      <c r="BF28" s="387"/>
      <c r="BG28" s="387"/>
      <c r="BH28" s="387"/>
      <c r="BI28" s="386"/>
      <c r="BJ28" s="386"/>
      <c r="BK28" s="386"/>
      <c r="BL28" s="386"/>
      <c r="BM28" s="386"/>
      <c r="BN28" s="386"/>
      <c r="BO28" s="384"/>
      <c r="BP28" s="736"/>
      <c r="BQ28" s="736"/>
      <c r="BR28" s="736"/>
      <c r="BS28" s="386"/>
      <c r="BT28" s="736"/>
      <c r="BU28" s="386"/>
      <c r="BV28" s="388"/>
      <c r="BW28" s="388"/>
      <c r="BX28" s="388"/>
      <c r="BY28" s="257">
        <v>3</v>
      </c>
      <c r="BZ28" s="388"/>
      <c r="CA28" s="388"/>
      <c r="CB28" s="388"/>
      <c r="CC28" s="388"/>
      <c r="CD28" s="372"/>
      <c r="CE28" s="385"/>
      <c r="CF28" s="385"/>
      <c r="CG28" s="388"/>
      <c r="CH28" s="388"/>
    </row>
    <row r="29" spans="1:87" ht="14.25" customHeight="1" thickBot="1">
      <c r="A29" s="257">
        <v>4</v>
      </c>
      <c r="B29" s="376"/>
      <c r="C29" s="372"/>
      <c r="D29" s="377"/>
      <c r="E29" s="372"/>
      <c r="F29" s="372"/>
      <c r="G29" s="378"/>
      <c r="H29" s="372"/>
      <c r="I29" s="736"/>
      <c r="J29" s="737"/>
      <c r="K29" s="736"/>
      <c r="L29" s="379"/>
      <c r="M29" s="377"/>
      <c r="N29" s="389"/>
      <c r="O29" s="383"/>
      <c r="P29" s="383"/>
      <c r="Q29" s="385"/>
      <c r="R29" s="737"/>
      <c r="S29" s="388"/>
      <c r="T29" s="383"/>
      <c r="U29" s="381"/>
      <c r="V29" s="257">
        <v>4</v>
      </c>
      <c r="W29" s="372"/>
      <c r="X29" s="382"/>
      <c r="Y29" s="753"/>
      <c r="Z29" s="753"/>
      <c r="AA29" s="736"/>
      <c r="AB29" s="752"/>
      <c r="AC29" s="752"/>
      <c r="AD29" s="736"/>
      <c r="AE29" s="736"/>
      <c r="AF29" s="736"/>
      <c r="AG29" s="753"/>
      <c r="AH29" s="753"/>
      <c r="AI29" s="753"/>
      <c r="AJ29" s="753"/>
      <c r="AK29" s="753"/>
      <c r="AL29" s="753"/>
      <c r="AM29" s="753"/>
      <c r="AN29" s="753"/>
      <c r="AO29" s="753"/>
      <c r="AP29" s="372"/>
      <c r="AQ29" s="379"/>
      <c r="AR29" s="379"/>
      <c r="AS29" s="377"/>
      <c r="AT29" s="737"/>
      <c r="AU29" s="737"/>
      <c r="AV29" s="737"/>
      <c r="AW29" s="383"/>
      <c r="AX29" s="383"/>
      <c r="AY29" s="384"/>
      <c r="AZ29" s="385"/>
      <c r="BA29" s="372"/>
      <c r="BB29" s="386"/>
      <c r="BC29" s="386"/>
      <c r="BD29" s="257">
        <v>4</v>
      </c>
      <c r="BE29" s="372"/>
      <c r="BF29" s="387"/>
      <c r="BG29" s="387"/>
      <c r="BH29" s="387"/>
      <c r="BI29" s="386"/>
      <c r="BJ29" s="386"/>
      <c r="BK29" s="386"/>
      <c r="BL29" s="386"/>
      <c r="BM29" s="386"/>
      <c r="BN29" s="386"/>
      <c r="BO29" s="384"/>
      <c r="BP29" s="736"/>
      <c r="BQ29" s="736"/>
      <c r="BR29" s="736"/>
      <c r="BS29" s="386"/>
      <c r="BT29" s="736"/>
      <c r="BU29" s="386"/>
      <c r="BV29" s="388"/>
      <c r="BW29" s="388"/>
      <c r="BX29" s="388"/>
      <c r="BY29" s="257">
        <v>4</v>
      </c>
      <c r="BZ29" s="388"/>
      <c r="CA29" s="388"/>
      <c r="CB29" s="388"/>
      <c r="CC29" s="388"/>
      <c r="CD29" s="372"/>
      <c r="CE29" s="385"/>
      <c r="CF29" s="385"/>
      <c r="CG29" s="388"/>
      <c r="CH29" s="388"/>
    </row>
    <row r="30" spans="1:87" ht="14.25" customHeight="1" thickTop="1" thickBot="1">
      <c r="A30" s="257">
        <v>5</v>
      </c>
      <c r="B30" s="376"/>
      <c r="C30" s="386"/>
      <c r="D30" s="385"/>
      <c r="E30" s="386"/>
      <c r="F30" s="386"/>
      <c r="G30" s="387"/>
      <c r="H30" s="386"/>
      <c r="I30" s="732"/>
      <c r="J30" s="741"/>
      <c r="K30" s="742"/>
      <c r="L30" s="389"/>
      <c r="M30" s="385"/>
      <c r="N30" s="390"/>
      <c r="O30" s="391"/>
      <c r="P30" s="391"/>
      <c r="Q30" s="392"/>
      <c r="R30" s="393"/>
      <c r="S30" s="393"/>
      <c r="T30" s="392"/>
      <c r="U30" s="388"/>
      <c r="V30" s="257">
        <v>5</v>
      </c>
      <c r="W30" s="386"/>
      <c r="X30" s="384"/>
      <c r="Y30" s="750"/>
      <c r="Z30" s="750"/>
      <c r="AA30" s="732"/>
      <c r="AB30" s="739"/>
      <c r="AC30" s="739"/>
      <c r="AD30" s="732"/>
      <c r="AE30" s="732"/>
      <c r="AF30" s="732"/>
      <c r="AG30" s="750"/>
      <c r="AH30" s="750"/>
      <c r="AI30" s="750"/>
      <c r="AJ30" s="750"/>
      <c r="AK30" s="750"/>
      <c r="AL30" s="750"/>
      <c r="AM30" s="750"/>
      <c r="AN30" s="750"/>
      <c r="AO30" s="750"/>
      <c r="AP30" s="386"/>
      <c r="AQ30" s="389"/>
      <c r="AR30" s="389"/>
      <c r="AS30" s="385"/>
      <c r="AT30" s="760"/>
      <c r="AU30" s="760"/>
      <c r="AV30" s="760"/>
      <c r="AW30" s="383"/>
      <c r="AX30" s="383"/>
      <c r="AY30" s="384"/>
      <c r="AZ30" s="385"/>
      <c r="BA30" s="386"/>
      <c r="BB30" s="386"/>
      <c r="BC30" s="386"/>
      <c r="BD30" s="257">
        <v>5</v>
      </c>
      <c r="BE30" s="386"/>
      <c r="BF30" s="387"/>
      <c r="BG30" s="387"/>
      <c r="BH30" s="387"/>
      <c r="BI30" s="386"/>
      <c r="BJ30" s="386"/>
      <c r="BK30" s="386"/>
      <c r="BL30" s="386"/>
      <c r="BM30" s="386"/>
      <c r="BN30" s="404"/>
      <c r="BO30" s="402"/>
      <c r="BP30" s="404"/>
      <c r="BQ30" s="404"/>
      <c r="BR30" s="404"/>
      <c r="BS30" s="386"/>
      <c r="BT30" s="732"/>
      <c r="BU30" s="386"/>
      <c r="BV30" s="388"/>
      <c r="BW30" s="388"/>
      <c r="BX30" s="388"/>
      <c r="BY30" s="257">
        <v>5</v>
      </c>
      <c r="BZ30" s="388"/>
      <c r="CA30" s="388"/>
      <c r="CB30" s="388"/>
      <c r="CC30" s="388"/>
      <c r="CD30" s="386"/>
      <c r="CE30" s="385"/>
      <c r="CF30" s="385"/>
      <c r="CG30" s="388"/>
      <c r="CH30" s="388"/>
    </row>
    <row r="31" spans="1:87" ht="14.25" customHeight="1" thickTop="1">
      <c r="A31" s="231">
        <v>6</v>
      </c>
      <c r="B31" s="394"/>
      <c r="C31" s="365"/>
      <c r="D31" s="368"/>
      <c r="E31" s="365"/>
      <c r="F31" s="365"/>
      <c r="G31" s="373"/>
      <c r="H31" s="365"/>
      <c r="I31" s="738"/>
      <c r="J31" s="733"/>
      <c r="K31" s="738"/>
      <c r="L31" s="367"/>
      <c r="M31" s="368"/>
      <c r="N31" s="337"/>
      <c r="O31" s="288"/>
      <c r="P31" s="288"/>
      <c r="Q31" s="338"/>
      <c r="R31" s="733"/>
      <c r="S31" s="339"/>
      <c r="T31" s="288"/>
      <c r="U31" s="369"/>
      <c r="V31" s="231">
        <v>6</v>
      </c>
      <c r="W31" s="365"/>
      <c r="X31" s="370"/>
      <c r="Y31" s="754"/>
      <c r="Z31" s="754"/>
      <c r="AA31" s="755"/>
      <c r="AB31" s="756"/>
      <c r="AC31" s="756"/>
      <c r="AD31" s="755"/>
      <c r="AE31" s="755"/>
      <c r="AF31" s="755"/>
      <c r="AG31" s="754"/>
      <c r="AH31" s="757"/>
      <c r="AI31" s="757"/>
      <c r="AJ31" s="757"/>
      <c r="AK31" s="757"/>
      <c r="AL31" s="757"/>
      <c r="AM31" s="757"/>
      <c r="AN31" s="757"/>
      <c r="AO31" s="757"/>
      <c r="AP31" s="365"/>
      <c r="AQ31" s="367"/>
      <c r="AR31" s="367"/>
      <c r="AS31" s="368"/>
      <c r="AT31" s="761"/>
      <c r="AU31" s="761"/>
      <c r="AV31" s="761"/>
      <c r="AW31" s="395"/>
      <c r="AX31" s="395"/>
      <c r="AY31" s="370"/>
      <c r="AZ31" s="368"/>
      <c r="BA31" s="365"/>
      <c r="BB31" s="365"/>
      <c r="BC31" s="365"/>
      <c r="BD31" s="231">
        <v>6</v>
      </c>
      <c r="BE31" s="365"/>
      <c r="BF31" s="373"/>
      <c r="BG31" s="373"/>
      <c r="BH31" s="373"/>
      <c r="BI31" s="365"/>
      <c r="BJ31" s="365"/>
      <c r="BK31" s="365"/>
      <c r="BL31" s="365"/>
      <c r="BM31" s="365"/>
      <c r="BN31" s="398"/>
      <c r="BO31" s="371"/>
      <c r="BP31" s="755"/>
      <c r="BQ31" s="755"/>
      <c r="BR31" s="755"/>
      <c r="BS31" s="365"/>
      <c r="BT31" s="755"/>
      <c r="BU31" s="365"/>
      <c r="BV31" s="365"/>
      <c r="BW31" s="365"/>
      <c r="BX31" s="365"/>
      <c r="BY31" s="231">
        <v>6</v>
      </c>
      <c r="BZ31" s="365"/>
      <c r="CA31" s="365"/>
      <c r="CB31" s="365"/>
      <c r="CC31" s="365"/>
      <c r="CD31" s="365"/>
      <c r="CE31" s="374"/>
      <c r="CF31" s="374"/>
      <c r="CG31" s="365"/>
      <c r="CH31" s="375"/>
    </row>
    <row r="32" spans="1:87" ht="14.25" customHeight="1">
      <c r="A32" s="396">
        <v>7</v>
      </c>
      <c r="B32" s="397"/>
      <c r="C32" s="398"/>
      <c r="D32" s="338"/>
      <c r="E32" s="398"/>
      <c r="F32" s="398"/>
      <c r="G32" s="366"/>
      <c r="H32" s="398"/>
      <c r="I32" s="734"/>
      <c r="J32" s="735"/>
      <c r="K32" s="734"/>
      <c r="L32" s="337"/>
      <c r="M32" s="338"/>
      <c r="N32" s="379"/>
      <c r="O32" s="380"/>
      <c r="P32" s="380"/>
      <c r="Q32" s="377"/>
      <c r="R32" s="735"/>
      <c r="S32" s="339"/>
      <c r="T32" s="288"/>
      <c r="U32" s="339"/>
      <c r="V32" s="396">
        <v>7</v>
      </c>
      <c r="W32" s="398"/>
      <c r="X32" s="371"/>
      <c r="Y32" s="751"/>
      <c r="Z32" s="751"/>
      <c r="AA32" s="736"/>
      <c r="AB32" s="752"/>
      <c r="AC32" s="752"/>
      <c r="AD32" s="736"/>
      <c r="AE32" s="736"/>
      <c r="AF32" s="736"/>
      <c r="AG32" s="751"/>
      <c r="AH32" s="753"/>
      <c r="AI32" s="753"/>
      <c r="AJ32" s="753"/>
      <c r="AK32" s="753"/>
      <c r="AL32" s="753"/>
      <c r="AM32" s="753"/>
      <c r="AN32" s="753"/>
      <c r="AO32" s="753"/>
      <c r="AP32" s="398"/>
      <c r="AQ32" s="337"/>
      <c r="AR32" s="337"/>
      <c r="AS32" s="338"/>
      <c r="AT32" s="737"/>
      <c r="AU32" s="737"/>
      <c r="AV32" s="737"/>
      <c r="AW32" s="349"/>
      <c r="AX32" s="349"/>
      <c r="AY32" s="399"/>
      <c r="AZ32" s="350"/>
      <c r="BA32" s="372"/>
      <c r="BB32" s="400"/>
      <c r="BC32" s="400"/>
      <c r="BD32" s="396">
        <v>7</v>
      </c>
      <c r="BE32" s="372"/>
      <c r="BF32" s="401"/>
      <c r="BG32" s="401"/>
      <c r="BH32" s="401"/>
      <c r="BI32" s="400"/>
      <c r="BJ32" s="400"/>
      <c r="BK32" s="400"/>
      <c r="BL32" s="400"/>
      <c r="BM32" s="400"/>
      <c r="BN32" s="400"/>
      <c r="BO32" s="399"/>
      <c r="BP32" s="736"/>
      <c r="BQ32" s="736"/>
      <c r="BR32" s="736"/>
      <c r="BS32" s="400"/>
      <c r="BT32" s="736"/>
      <c r="BU32" s="400"/>
      <c r="BV32" s="400"/>
      <c r="BW32" s="400"/>
      <c r="BX32" s="400"/>
      <c r="BY32" s="396">
        <v>7</v>
      </c>
      <c r="BZ32" s="400"/>
      <c r="CA32" s="400"/>
      <c r="CB32" s="400"/>
      <c r="CC32" s="400"/>
      <c r="CD32" s="372"/>
      <c r="CE32" s="350"/>
      <c r="CF32" s="350"/>
      <c r="CG32" s="324"/>
      <c r="CH32" s="324"/>
    </row>
    <row r="33" spans="1:86" ht="14.25" customHeight="1">
      <c r="A33" s="257">
        <v>8</v>
      </c>
      <c r="B33" s="376"/>
      <c r="C33" s="372"/>
      <c r="D33" s="377"/>
      <c r="E33" s="372"/>
      <c r="F33" s="372"/>
      <c r="G33" s="378"/>
      <c r="H33" s="372"/>
      <c r="I33" s="734"/>
      <c r="J33" s="735"/>
      <c r="K33" s="734"/>
      <c r="L33" s="379"/>
      <c r="M33" s="377"/>
      <c r="N33" s="379"/>
      <c r="O33" s="380"/>
      <c r="P33" s="380"/>
      <c r="Q33" s="377"/>
      <c r="R33" s="743"/>
      <c r="S33" s="381"/>
      <c r="T33" s="380"/>
      <c r="U33" s="381"/>
      <c r="V33" s="257">
        <v>8</v>
      </c>
      <c r="W33" s="372"/>
      <c r="X33" s="382"/>
      <c r="Y33" s="751"/>
      <c r="Z33" s="751"/>
      <c r="AA33" s="736"/>
      <c r="AB33" s="752"/>
      <c r="AC33" s="752"/>
      <c r="AD33" s="736"/>
      <c r="AE33" s="736"/>
      <c r="AF33" s="736"/>
      <c r="AG33" s="751"/>
      <c r="AH33" s="753"/>
      <c r="AI33" s="753"/>
      <c r="AJ33" s="753"/>
      <c r="AK33" s="753"/>
      <c r="AL33" s="753"/>
      <c r="AM33" s="753"/>
      <c r="AN33" s="753"/>
      <c r="AO33" s="753"/>
      <c r="AP33" s="372"/>
      <c r="AQ33" s="379"/>
      <c r="AR33" s="379"/>
      <c r="AS33" s="377"/>
      <c r="AT33" s="737"/>
      <c r="AU33" s="737"/>
      <c r="AV33" s="737"/>
      <c r="AW33" s="383"/>
      <c r="AX33" s="383"/>
      <c r="AY33" s="384"/>
      <c r="AZ33" s="385"/>
      <c r="BA33" s="372"/>
      <c r="BB33" s="386"/>
      <c r="BC33" s="386"/>
      <c r="BD33" s="257">
        <v>8</v>
      </c>
      <c r="BE33" s="372"/>
      <c r="BF33" s="387"/>
      <c r="BG33" s="387"/>
      <c r="BH33" s="387"/>
      <c r="BI33" s="386"/>
      <c r="BJ33" s="386"/>
      <c r="BK33" s="386"/>
      <c r="BL33" s="386"/>
      <c r="BM33" s="386"/>
      <c r="BN33" s="386"/>
      <c r="BO33" s="384"/>
      <c r="BP33" s="736"/>
      <c r="BQ33" s="736"/>
      <c r="BR33" s="736"/>
      <c r="BS33" s="386"/>
      <c r="BT33" s="736"/>
      <c r="BU33" s="386"/>
      <c r="BV33" s="386"/>
      <c r="BW33" s="386"/>
      <c r="BX33" s="386"/>
      <c r="BY33" s="257">
        <v>8</v>
      </c>
      <c r="BZ33" s="386"/>
      <c r="CA33" s="386"/>
      <c r="CB33" s="386"/>
      <c r="CC33" s="386"/>
      <c r="CD33" s="372"/>
      <c r="CE33" s="385"/>
      <c r="CF33" s="385"/>
      <c r="CG33" s="388"/>
      <c r="CH33" s="388"/>
    </row>
    <row r="34" spans="1:86" ht="14.25" customHeight="1" thickBot="1">
      <c r="A34" s="257">
        <v>9</v>
      </c>
      <c r="B34" s="376"/>
      <c r="C34" s="372"/>
      <c r="D34" s="377"/>
      <c r="E34" s="372"/>
      <c r="F34" s="372"/>
      <c r="G34" s="378"/>
      <c r="H34" s="372"/>
      <c r="I34" s="736"/>
      <c r="J34" s="737"/>
      <c r="K34" s="736"/>
      <c r="L34" s="379"/>
      <c r="M34" s="377"/>
      <c r="N34" s="337"/>
      <c r="O34" s="371"/>
      <c r="P34" s="371"/>
      <c r="Q34" s="366"/>
      <c r="R34" s="752"/>
      <c r="S34" s="398"/>
      <c r="T34" s="288"/>
      <c r="U34" s="381"/>
      <c r="V34" s="257">
        <v>9</v>
      </c>
      <c r="W34" s="372"/>
      <c r="X34" s="382"/>
      <c r="Y34" s="753"/>
      <c r="Z34" s="753"/>
      <c r="AA34" s="736"/>
      <c r="AB34" s="752"/>
      <c r="AC34" s="752"/>
      <c r="AD34" s="736"/>
      <c r="AE34" s="736"/>
      <c r="AF34" s="736"/>
      <c r="AG34" s="753"/>
      <c r="AH34" s="753"/>
      <c r="AI34" s="753"/>
      <c r="AJ34" s="753"/>
      <c r="AK34" s="753"/>
      <c r="AL34" s="753"/>
      <c r="AM34" s="753"/>
      <c r="AN34" s="753"/>
      <c r="AO34" s="753"/>
      <c r="AP34" s="372"/>
      <c r="AQ34" s="379"/>
      <c r="AR34" s="379"/>
      <c r="AS34" s="377"/>
      <c r="AT34" s="737"/>
      <c r="AU34" s="737"/>
      <c r="AV34" s="737"/>
      <c r="AW34" s="383"/>
      <c r="AX34" s="383"/>
      <c r="AY34" s="384"/>
      <c r="AZ34" s="385"/>
      <c r="BA34" s="372"/>
      <c r="BB34" s="386"/>
      <c r="BC34" s="386"/>
      <c r="BD34" s="257">
        <v>9</v>
      </c>
      <c r="BE34" s="372"/>
      <c r="BF34" s="387"/>
      <c r="BG34" s="387"/>
      <c r="BH34" s="387"/>
      <c r="BI34" s="386"/>
      <c r="BJ34" s="386"/>
      <c r="BK34" s="386"/>
      <c r="BL34" s="386"/>
      <c r="BM34" s="386"/>
      <c r="BN34" s="386"/>
      <c r="BO34" s="384"/>
      <c r="BP34" s="736"/>
      <c r="BQ34" s="736"/>
      <c r="BR34" s="736"/>
      <c r="BS34" s="386"/>
      <c r="BT34" s="736"/>
      <c r="BU34" s="386"/>
      <c r="BV34" s="386"/>
      <c r="BW34" s="386"/>
      <c r="BX34" s="386"/>
      <c r="BY34" s="257">
        <v>9</v>
      </c>
      <c r="BZ34" s="386"/>
      <c r="CA34" s="386"/>
      <c r="CB34" s="386"/>
      <c r="CC34" s="386"/>
      <c r="CD34" s="372"/>
      <c r="CE34" s="385"/>
      <c r="CF34" s="385"/>
      <c r="CG34" s="388"/>
      <c r="CH34" s="388"/>
    </row>
    <row r="35" spans="1:86" ht="14.25" customHeight="1" thickTop="1" thickBot="1">
      <c r="A35" s="257">
        <v>10</v>
      </c>
      <c r="B35" s="376"/>
      <c r="C35" s="386"/>
      <c r="D35" s="385"/>
      <c r="E35" s="386"/>
      <c r="F35" s="386"/>
      <c r="G35" s="387"/>
      <c r="H35" s="386"/>
      <c r="I35" s="732"/>
      <c r="J35" s="742"/>
      <c r="K35" s="742"/>
      <c r="L35" s="389"/>
      <c r="M35" s="385"/>
      <c r="N35" s="390"/>
      <c r="O35" s="402"/>
      <c r="P35" s="402"/>
      <c r="Q35" s="403"/>
      <c r="R35" s="742"/>
      <c r="S35" s="404"/>
      <c r="T35" s="392"/>
      <c r="U35" s="388"/>
      <c r="V35" s="257">
        <v>10</v>
      </c>
      <c r="W35" s="386"/>
      <c r="X35" s="384"/>
      <c r="Y35" s="750"/>
      <c r="Z35" s="750"/>
      <c r="AA35" s="732"/>
      <c r="AB35" s="739"/>
      <c r="AC35" s="739"/>
      <c r="AD35" s="732"/>
      <c r="AE35" s="732"/>
      <c r="AF35" s="732"/>
      <c r="AG35" s="750"/>
      <c r="AH35" s="750"/>
      <c r="AI35" s="750"/>
      <c r="AJ35" s="750"/>
      <c r="AK35" s="750"/>
      <c r="AL35" s="750"/>
      <c r="AM35" s="750"/>
      <c r="AN35" s="750"/>
      <c r="AO35" s="750"/>
      <c r="AP35" s="386"/>
      <c r="AQ35" s="389"/>
      <c r="AR35" s="389"/>
      <c r="AS35" s="385"/>
      <c r="AT35" s="760"/>
      <c r="AU35" s="760"/>
      <c r="AV35" s="760"/>
      <c r="AW35" s="383"/>
      <c r="AX35" s="383"/>
      <c r="AY35" s="384"/>
      <c r="AZ35" s="385"/>
      <c r="BA35" s="386"/>
      <c r="BB35" s="386"/>
      <c r="BC35" s="386"/>
      <c r="BD35" s="257">
        <v>10</v>
      </c>
      <c r="BE35" s="386"/>
      <c r="BF35" s="387"/>
      <c r="BG35" s="387"/>
      <c r="BH35" s="387"/>
      <c r="BI35" s="386"/>
      <c r="BJ35" s="386"/>
      <c r="BK35" s="386"/>
      <c r="BL35" s="386"/>
      <c r="BM35" s="386"/>
      <c r="BN35" s="386"/>
      <c r="BO35" s="384"/>
      <c r="BP35" s="404"/>
      <c r="BQ35" s="404"/>
      <c r="BR35" s="404"/>
      <c r="BS35" s="386"/>
      <c r="BT35" s="732"/>
      <c r="BU35" s="386"/>
      <c r="BV35" s="386"/>
      <c r="BW35" s="386"/>
      <c r="BX35" s="386"/>
      <c r="BY35" s="257">
        <v>10</v>
      </c>
      <c r="BZ35" s="386"/>
      <c r="CA35" s="386"/>
      <c r="CB35" s="386"/>
      <c r="CC35" s="386"/>
      <c r="CD35" s="386"/>
      <c r="CE35" s="385"/>
      <c r="CF35" s="385"/>
      <c r="CG35" s="388"/>
      <c r="CH35" s="388"/>
    </row>
    <row r="36" spans="1:86" ht="14.25" customHeight="1" thickTop="1">
      <c r="A36" s="231">
        <v>11</v>
      </c>
      <c r="B36" s="394"/>
      <c r="C36" s="365"/>
      <c r="D36" s="373"/>
      <c r="E36" s="365"/>
      <c r="F36" s="365"/>
      <c r="G36" s="373"/>
      <c r="H36" s="365"/>
      <c r="I36" s="734"/>
      <c r="J36" s="743"/>
      <c r="K36" s="738"/>
      <c r="L36" s="367"/>
      <c r="M36" s="373"/>
      <c r="N36" s="337"/>
      <c r="O36" s="371"/>
      <c r="P36" s="371"/>
      <c r="Q36" s="366"/>
      <c r="R36" s="743"/>
      <c r="S36" s="398"/>
      <c r="T36" s="371"/>
      <c r="U36" s="365"/>
      <c r="V36" s="231">
        <v>11</v>
      </c>
      <c r="W36" s="365"/>
      <c r="X36" s="370"/>
      <c r="Y36" s="751"/>
      <c r="Z36" s="751"/>
      <c r="AA36" s="736"/>
      <c r="AB36" s="752"/>
      <c r="AC36" s="752"/>
      <c r="AD36" s="736"/>
      <c r="AE36" s="736"/>
      <c r="AF36" s="736"/>
      <c r="AG36" s="751"/>
      <c r="AH36" s="753"/>
      <c r="AI36" s="753"/>
      <c r="AJ36" s="753"/>
      <c r="AK36" s="753"/>
      <c r="AL36" s="753"/>
      <c r="AM36" s="753"/>
      <c r="AN36" s="753"/>
      <c r="AO36" s="753"/>
      <c r="AP36" s="365"/>
      <c r="AQ36" s="367"/>
      <c r="AR36" s="367"/>
      <c r="AS36" s="368"/>
      <c r="AT36" s="737"/>
      <c r="AU36" s="737"/>
      <c r="AV36" s="737"/>
      <c r="AW36" s="395"/>
      <c r="AX36" s="395"/>
      <c r="AY36" s="370"/>
      <c r="AZ36" s="368"/>
      <c r="BA36" s="365"/>
      <c r="BB36" s="365"/>
      <c r="BC36" s="365"/>
      <c r="BD36" s="231">
        <v>11</v>
      </c>
      <c r="BE36" s="365"/>
      <c r="BF36" s="373"/>
      <c r="BG36" s="373"/>
      <c r="BH36" s="373"/>
      <c r="BI36" s="365"/>
      <c r="BJ36" s="365"/>
      <c r="BK36" s="365"/>
      <c r="BL36" s="365"/>
      <c r="BM36" s="365"/>
      <c r="BN36" s="365"/>
      <c r="BO36" s="370"/>
      <c r="BP36" s="755"/>
      <c r="BQ36" s="755"/>
      <c r="BR36" s="755"/>
      <c r="BS36" s="365"/>
      <c r="BT36" s="736"/>
      <c r="BU36" s="365"/>
      <c r="BV36" s="365"/>
      <c r="BW36" s="365"/>
      <c r="BX36" s="365"/>
      <c r="BY36" s="231">
        <v>11</v>
      </c>
      <c r="BZ36" s="365"/>
      <c r="CA36" s="365"/>
      <c r="CB36" s="365"/>
      <c r="CC36" s="365"/>
      <c r="CD36" s="365"/>
      <c r="CE36" s="373"/>
      <c r="CF36" s="373"/>
      <c r="CG36" s="365"/>
      <c r="CH36" s="365"/>
    </row>
    <row r="37" spans="1:86" ht="14.25" customHeight="1">
      <c r="A37" s="257">
        <v>12</v>
      </c>
      <c r="B37" s="376"/>
      <c r="C37" s="372"/>
      <c r="D37" s="378"/>
      <c r="E37" s="372"/>
      <c r="F37" s="372"/>
      <c r="G37" s="378"/>
      <c r="H37" s="372"/>
      <c r="I37" s="734"/>
      <c r="J37" s="740"/>
      <c r="K37" s="734"/>
      <c r="L37" s="379"/>
      <c r="M37" s="378"/>
      <c r="N37" s="379"/>
      <c r="O37" s="382"/>
      <c r="P37" s="382"/>
      <c r="Q37" s="378"/>
      <c r="R37" s="740"/>
      <c r="S37" s="372"/>
      <c r="T37" s="382"/>
      <c r="U37" s="372"/>
      <c r="V37" s="257">
        <v>12</v>
      </c>
      <c r="W37" s="372"/>
      <c r="X37" s="382"/>
      <c r="Y37" s="751"/>
      <c r="Z37" s="751"/>
      <c r="AA37" s="736"/>
      <c r="AB37" s="752"/>
      <c r="AC37" s="752"/>
      <c r="AD37" s="736"/>
      <c r="AE37" s="736"/>
      <c r="AF37" s="736"/>
      <c r="AG37" s="751"/>
      <c r="AH37" s="753"/>
      <c r="AI37" s="753"/>
      <c r="AJ37" s="753"/>
      <c r="AK37" s="753"/>
      <c r="AL37" s="753"/>
      <c r="AM37" s="753"/>
      <c r="AN37" s="753"/>
      <c r="AO37" s="753"/>
      <c r="AP37" s="372"/>
      <c r="AQ37" s="379"/>
      <c r="AR37" s="379"/>
      <c r="AS37" s="377"/>
      <c r="AT37" s="737"/>
      <c r="AU37" s="737"/>
      <c r="AV37" s="737"/>
      <c r="AW37" s="383"/>
      <c r="AX37" s="383"/>
      <c r="AY37" s="384"/>
      <c r="AZ37" s="385"/>
      <c r="BA37" s="372"/>
      <c r="BB37" s="386"/>
      <c r="BC37" s="386"/>
      <c r="BD37" s="257">
        <v>12</v>
      </c>
      <c r="BE37" s="372"/>
      <c r="BF37" s="387"/>
      <c r="BG37" s="387"/>
      <c r="BH37" s="387"/>
      <c r="BI37" s="386"/>
      <c r="BJ37" s="386"/>
      <c r="BK37" s="386"/>
      <c r="BL37" s="386"/>
      <c r="BM37" s="386"/>
      <c r="BN37" s="386"/>
      <c r="BO37" s="384"/>
      <c r="BP37" s="736"/>
      <c r="BQ37" s="736"/>
      <c r="BR37" s="736"/>
      <c r="BS37" s="386"/>
      <c r="BT37" s="736"/>
      <c r="BU37" s="386"/>
      <c r="BV37" s="388"/>
      <c r="BW37" s="388"/>
      <c r="BX37" s="388"/>
      <c r="BY37" s="257">
        <v>12</v>
      </c>
      <c r="BZ37" s="388"/>
      <c r="CA37" s="388"/>
      <c r="CB37" s="388"/>
      <c r="CC37" s="388"/>
      <c r="CD37" s="372"/>
      <c r="CE37" s="387"/>
      <c r="CF37" s="387"/>
      <c r="CG37" s="386"/>
      <c r="CH37" s="386"/>
    </row>
    <row r="38" spans="1:86" ht="14.25" customHeight="1">
      <c r="A38" s="257">
        <v>13</v>
      </c>
      <c r="B38" s="376"/>
      <c r="C38" s="372"/>
      <c r="D38" s="378"/>
      <c r="E38" s="372"/>
      <c r="F38" s="372"/>
      <c r="G38" s="378"/>
      <c r="H38" s="372"/>
      <c r="I38" s="734"/>
      <c r="J38" s="740"/>
      <c r="K38" s="734"/>
      <c r="L38" s="379"/>
      <c r="M38" s="378"/>
      <c r="N38" s="379"/>
      <c r="O38" s="382"/>
      <c r="P38" s="382"/>
      <c r="Q38" s="378"/>
      <c r="R38" s="1060"/>
      <c r="S38" s="372"/>
      <c r="T38" s="382"/>
      <c r="U38" s="372"/>
      <c r="V38" s="257">
        <v>13</v>
      </c>
      <c r="W38" s="372"/>
      <c r="X38" s="382"/>
      <c r="Y38" s="751"/>
      <c r="Z38" s="751"/>
      <c r="AA38" s="736"/>
      <c r="AB38" s="752"/>
      <c r="AC38" s="752"/>
      <c r="AD38" s="736"/>
      <c r="AE38" s="736"/>
      <c r="AF38" s="736"/>
      <c r="AG38" s="751"/>
      <c r="AH38" s="753"/>
      <c r="AI38" s="753"/>
      <c r="AJ38" s="753"/>
      <c r="AK38" s="753"/>
      <c r="AL38" s="753"/>
      <c r="AM38" s="753"/>
      <c r="AN38" s="753"/>
      <c r="AO38" s="753"/>
      <c r="AP38" s="372"/>
      <c r="AQ38" s="379"/>
      <c r="AR38" s="379"/>
      <c r="AS38" s="377"/>
      <c r="AT38" s="737"/>
      <c r="AU38" s="737"/>
      <c r="AV38" s="737"/>
      <c r="AW38" s="383"/>
      <c r="AX38" s="383"/>
      <c r="AY38" s="384"/>
      <c r="AZ38" s="385"/>
      <c r="BA38" s="372"/>
      <c r="BB38" s="386"/>
      <c r="BC38" s="386"/>
      <c r="BD38" s="257">
        <v>13</v>
      </c>
      <c r="BE38" s="372"/>
      <c r="BF38" s="387"/>
      <c r="BG38" s="387"/>
      <c r="BH38" s="387"/>
      <c r="BI38" s="386"/>
      <c r="BJ38" s="386"/>
      <c r="BK38" s="386"/>
      <c r="BL38" s="386"/>
      <c r="BM38" s="386"/>
      <c r="BN38" s="386"/>
      <c r="BO38" s="384"/>
      <c r="BP38" s="736"/>
      <c r="BQ38" s="736"/>
      <c r="BR38" s="736"/>
      <c r="BS38" s="386"/>
      <c r="BT38" s="736"/>
      <c r="BU38" s="386"/>
      <c r="BV38" s="388"/>
      <c r="BW38" s="388"/>
      <c r="BX38" s="388"/>
      <c r="BY38" s="257">
        <v>13</v>
      </c>
      <c r="BZ38" s="388"/>
      <c r="CA38" s="388"/>
      <c r="CB38" s="388"/>
      <c r="CC38" s="388"/>
      <c r="CD38" s="372"/>
      <c r="CE38" s="385"/>
      <c r="CF38" s="385"/>
      <c r="CG38" s="388"/>
      <c r="CH38" s="388"/>
    </row>
    <row r="39" spans="1:86" ht="14.25" customHeight="1">
      <c r="A39" s="257">
        <v>14</v>
      </c>
      <c r="B39" s="376"/>
      <c r="C39" s="372"/>
      <c r="D39" s="378"/>
      <c r="E39" s="372"/>
      <c r="F39" s="372"/>
      <c r="G39" s="378"/>
      <c r="H39" s="372"/>
      <c r="I39" s="734"/>
      <c r="J39" s="740"/>
      <c r="K39" s="734"/>
      <c r="L39" s="379"/>
      <c r="M39" s="378"/>
      <c r="N39" s="405"/>
      <c r="O39" s="406"/>
      <c r="P39" s="406"/>
      <c r="Q39" s="407"/>
      <c r="R39" s="1061"/>
      <c r="S39" s="408"/>
      <c r="T39" s="382"/>
      <c r="U39" s="372"/>
      <c r="V39" s="257">
        <v>14</v>
      </c>
      <c r="W39" s="372"/>
      <c r="X39" s="382"/>
      <c r="Y39" s="751"/>
      <c r="Z39" s="751"/>
      <c r="AA39" s="734"/>
      <c r="AB39" s="740"/>
      <c r="AC39" s="740"/>
      <c r="AD39" s="734"/>
      <c r="AE39" s="734"/>
      <c r="AF39" s="734"/>
      <c r="AG39" s="751"/>
      <c r="AH39" s="751"/>
      <c r="AI39" s="751"/>
      <c r="AJ39" s="751"/>
      <c r="AK39" s="751"/>
      <c r="AL39" s="751"/>
      <c r="AM39" s="751"/>
      <c r="AN39" s="751"/>
      <c r="AO39" s="751"/>
      <c r="AP39" s="372"/>
      <c r="AQ39" s="379"/>
      <c r="AR39" s="379"/>
      <c r="AS39" s="377"/>
      <c r="AT39" s="735"/>
      <c r="AU39" s="735"/>
      <c r="AV39" s="735"/>
      <c r="AW39" s="383"/>
      <c r="AX39" s="383"/>
      <c r="AY39" s="384"/>
      <c r="AZ39" s="385"/>
      <c r="BA39" s="372"/>
      <c r="BB39" s="386"/>
      <c r="BC39" s="386"/>
      <c r="BD39" s="257">
        <v>14</v>
      </c>
      <c r="BE39" s="372"/>
      <c r="BF39" s="387"/>
      <c r="BG39" s="387"/>
      <c r="BH39" s="387"/>
      <c r="BI39" s="386"/>
      <c r="BJ39" s="386"/>
      <c r="BK39" s="386"/>
      <c r="BL39" s="386"/>
      <c r="BM39" s="386"/>
      <c r="BN39" s="386"/>
      <c r="BO39" s="384"/>
      <c r="BP39" s="734"/>
      <c r="BQ39" s="734"/>
      <c r="BR39" s="734"/>
      <c r="BS39" s="386"/>
      <c r="BT39" s="734"/>
      <c r="BU39" s="386"/>
      <c r="BV39" s="388"/>
      <c r="BW39" s="388"/>
      <c r="BX39" s="388"/>
      <c r="BY39" s="257">
        <v>14</v>
      </c>
      <c r="BZ39" s="388"/>
      <c r="CA39" s="388"/>
      <c r="CB39" s="388"/>
      <c r="CC39" s="388"/>
      <c r="CD39" s="372"/>
      <c r="CE39" s="385"/>
      <c r="CF39" s="385"/>
      <c r="CG39" s="388"/>
      <c r="CH39" s="388"/>
    </row>
    <row r="40" spans="1:86" ht="14.25" customHeight="1">
      <c r="A40" s="249">
        <v>15</v>
      </c>
      <c r="B40" s="409"/>
      <c r="C40" s="372"/>
      <c r="D40" s="378"/>
      <c r="E40" s="372"/>
      <c r="F40" s="372"/>
      <c r="G40" s="378"/>
      <c r="H40" s="372"/>
      <c r="L40" s="379"/>
      <c r="M40" s="378"/>
      <c r="N40" s="277"/>
      <c r="O40" s="410"/>
      <c r="P40" s="410"/>
      <c r="Q40" s="411"/>
      <c r="S40" s="278"/>
      <c r="T40" s="371"/>
      <c r="U40" s="372"/>
      <c r="V40" s="249">
        <v>15</v>
      </c>
      <c r="W40" s="372"/>
      <c r="X40" s="382"/>
      <c r="AP40" s="372"/>
      <c r="AQ40" s="379"/>
      <c r="AR40" s="379"/>
      <c r="AS40" s="377"/>
      <c r="AW40" s="380"/>
      <c r="AX40" s="380"/>
      <c r="AY40" s="382"/>
      <c r="AZ40" s="377"/>
      <c r="BA40" s="372"/>
      <c r="BB40" s="372"/>
      <c r="BC40" s="372"/>
      <c r="BD40" s="249">
        <v>15</v>
      </c>
      <c r="BE40" s="372"/>
      <c r="BF40" s="378"/>
      <c r="BG40" s="378"/>
      <c r="BH40" s="378"/>
      <c r="BI40" s="372"/>
      <c r="BJ40" s="372"/>
      <c r="BK40" s="372"/>
      <c r="BL40" s="372"/>
      <c r="BM40" s="372"/>
      <c r="BN40" s="372"/>
      <c r="BO40" s="382"/>
      <c r="BS40" s="372"/>
      <c r="BU40" s="372"/>
      <c r="BV40" s="381"/>
      <c r="BW40" s="381"/>
      <c r="BX40" s="381"/>
      <c r="BY40" s="249">
        <v>15</v>
      </c>
      <c r="BZ40" s="381"/>
      <c r="CA40" s="381"/>
      <c r="CB40" s="381"/>
      <c r="CC40" s="381"/>
      <c r="CD40" s="372"/>
      <c r="CE40" s="377"/>
      <c r="CF40" s="377"/>
      <c r="CG40" s="381"/>
      <c r="CH40" s="381"/>
    </row>
  </sheetData>
  <customSheetViews>
    <customSheetView guid="{9C153D9E-615C-443B-9CD7-551163282F03}" scale="150" showPageBreaks="1" printArea="1" hiddenColumns="1" view="pageBreakPreview">
      <pane xSplit="6" ySplit="8" topLeftCell="V16" activePane="bottomRight" state="frozen"/>
      <selection pane="bottomRight" activeCell="Y6" sqref="Y6:AB22"/>
      <colBreaks count="3" manualBreakCount="3">
        <brk id="15" max="39" man="1"/>
        <brk id="29" max="39" man="1"/>
        <brk id="47" max="39" man="1"/>
      </colBreaks>
      <pageMargins left="0" right="0" top="0" bottom="0" header="0" footer="0"/>
      <pageSetup firstPageNumber="7" orientation="landscape" r:id="rId1"/>
      <headerFooter>
        <oddFooter>&amp;C&amp;P</oddFooter>
      </headerFooter>
    </customSheetView>
    <customSheetView guid="{BE9F68F7-D81B-4526-9959-D871EC50BDFF}" scale="150" showPageBreaks="1" printArea="1" hiddenColumns="1" view="pageBreakPreview">
      <pane xSplit="6" ySplit="8" topLeftCell="BF10" activePane="bottomRight" state="frozen"/>
      <selection pane="bottomRight" activeCell="G13" sqref="G13"/>
      <colBreaks count="3" manualBreakCount="3">
        <brk id="15" max="39" man="1"/>
        <brk id="29" max="39" man="1"/>
        <brk id="47" max="39" man="1"/>
      </colBreaks>
      <pageMargins left="0" right="0" top="0" bottom="0" header="0" footer="0"/>
      <pageSetup firstPageNumber="7" orientation="landscape" r:id="rId2"/>
      <headerFooter>
        <oddFooter>&amp;C&amp;P</oddFooter>
      </headerFooter>
    </customSheetView>
    <customSheetView guid="{EF790C5B-80DA-4544-9EB7-EFE0323B2298}" scale="150" showPageBreaks="1" printArea="1" hiddenColumns="1" view="pageBreakPreview">
      <pane xSplit="7" ySplit="9" topLeftCell="BB19" activePane="bottomRight" state="frozen"/>
      <selection pane="bottomRight" activeCell="F13" sqref="F13:F25"/>
      <colBreaks count="3" manualBreakCount="3">
        <brk id="15" max="39" man="1"/>
        <brk id="29" max="39" man="1"/>
        <brk id="47" max="39" man="1"/>
      </colBreaks>
      <pageMargins left="0" right="0" top="0" bottom="0" header="0" footer="0"/>
      <pageSetup firstPageNumber="7" orientation="landscape" r:id="rId3"/>
      <headerFooter>
        <oddFooter>&amp;C&amp;P</oddFooter>
      </headerFooter>
    </customSheetView>
    <customSheetView guid="{C9D2DBB1-CD01-4732-8C86-64BE16C94753}" showPageBreaks="1" printArea="1" hiddenColumns="1" view="pageBreakPreview">
      <selection activeCell="A3" sqref="A3:A24"/>
      <colBreaks count="3" manualBreakCount="3">
        <brk id="17" max="39" man="1"/>
        <brk id="31" max="39" man="1"/>
        <brk id="49" max="39" man="1"/>
      </colBreaks>
      <pageMargins left="0" right="0" top="0" bottom="0" header="0" footer="0"/>
      <pageSetup firstPageNumber="7" orientation="landscape" r:id="rId4"/>
      <headerFooter>
        <oddFooter>&amp;C&amp;P</oddFooter>
      </headerFooter>
    </customSheetView>
    <customSheetView guid="{BFEC163F-7C4E-49B7-9F32-15225772E72F}" showPageBreaks="1" printArea="1" hiddenColumns="1" view="pageBreakPreview" topLeftCell="W11">
      <selection activeCell="BF13" sqref="BF13:BF14"/>
      <colBreaks count="3" manualBreakCount="3">
        <brk id="17" max="39" man="1"/>
        <brk id="31" max="39" man="1"/>
        <brk id="49" max="39" man="1"/>
      </colBreaks>
      <pageMargins left="0" right="0" top="0" bottom="0" header="0" footer="0"/>
      <pageSetup firstPageNumber="7" orientation="landscape" r:id="rId5"/>
      <headerFooter>
        <oddFooter>&amp;C&amp;P</oddFooter>
      </headerFooter>
    </customSheetView>
    <customSheetView guid="{5529DB6B-163A-4048-9107-267B30B97DF3}" showPageBreaks="1" printArea="1" hiddenColumns="1" view="pageBreakPreview" topLeftCell="AN1">
      <selection activeCell="BC24" sqref="BC24"/>
      <colBreaks count="3" manualBreakCount="3">
        <brk id="17" max="39" man="1"/>
        <brk id="31" max="39" man="1"/>
        <brk id="49" max="39" man="1"/>
      </colBreaks>
      <pageMargins left="0" right="0" top="0" bottom="0" header="0" footer="0"/>
      <pageSetup firstPageNumber="7" orientation="landscape" r:id="rId6"/>
      <headerFooter>
        <oddFooter>&amp;C&amp;P</oddFooter>
      </headerFooter>
    </customSheetView>
    <customSheetView guid="{9B0763AA-FA4B-479A-900C-C113E8BEEFEB}" showPageBreaks="1" printArea="1" hiddenColumns="1" view="pageBreakPreview" topLeftCell="AR1">
      <selection activeCell="BJ11" sqref="BJ11"/>
      <colBreaks count="3" manualBreakCount="3">
        <brk id="17" max="39" man="1"/>
        <brk id="31" max="39" man="1"/>
        <brk id="49" max="39" man="1"/>
      </colBreaks>
      <pageMargins left="0" right="0" top="0" bottom="0" header="0" footer="0"/>
      <pageSetup firstPageNumber="7" orientation="landscape" r:id="rId7"/>
      <headerFooter>
        <oddFooter>&amp;C&amp;P</oddFooter>
      </headerFooter>
    </customSheetView>
    <customSheetView guid="{89903799-8228-4A6D-8A81-7F80BC61226D}" scale="150" showPageBreaks="1" printArea="1" hiddenColumns="1" view="pageBreakPreview">
      <selection activeCell="G13" sqref="G13"/>
      <colBreaks count="3" manualBreakCount="3">
        <brk id="15" max="39" man="1"/>
        <brk id="29" max="39" man="1"/>
        <brk id="47" max="39" man="1"/>
      </colBreaks>
      <pageMargins left="0" right="0" top="0" bottom="0" header="0" footer="0"/>
      <pageSetup firstPageNumber="7" orientation="landscape" r:id="rId8"/>
      <headerFooter>
        <oddFooter>&amp;C&amp;P</oddFooter>
      </headerFooter>
    </customSheetView>
    <customSheetView guid="{2524630E-605A-4616-AD5D-6CF7B1E9752C}" scale="150" showPageBreaks="1" printArea="1" hiddenColumns="1" view="pageBreakPreview">
      <pane xSplit="7" ySplit="9" topLeftCell="BB10" activePane="bottomRight" state="frozen"/>
      <selection pane="bottomRight" activeCell="AZ4" sqref="AZ4:AZ11"/>
      <colBreaks count="3" manualBreakCount="3">
        <brk id="15" max="39" man="1"/>
        <brk id="29" max="39" man="1"/>
        <brk id="47" max="39" man="1"/>
      </colBreaks>
      <pageMargins left="0" right="0" top="0" bottom="0" header="0" footer="0"/>
      <pageSetup firstPageNumber="7" orientation="landscape" r:id="rId9"/>
      <headerFooter>
        <oddFooter>&amp;C&amp;P</oddFooter>
      </headerFooter>
    </customSheetView>
  </customSheetViews>
  <mergeCells count="165">
    <mergeCell ref="AU9:AU11"/>
    <mergeCell ref="AU13:AU15"/>
    <mergeCell ref="AQ19:AQ20"/>
    <mergeCell ref="AT4:AT12"/>
    <mergeCell ref="AU4:AU8"/>
    <mergeCell ref="AV4:AV8"/>
    <mergeCell ref="AW6:AZ23"/>
    <mergeCell ref="BZ15:BZ20"/>
    <mergeCell ref="CA15:CA20"/>
    <mergeCell ref="BB21:BB22"/>
    <mergeCell ref="BF14:BF25"/>
    <mergeCell ref="BE4:BE8"/>
    <mergeCell ref="AQ17:AQ18"/>
    <mergeCell ref="BB4:BB7"/>
    <mergeCell ref="BP14:BP25"/>
    <mergeCell ref="BQ14:BQ25"/>
    <mergeCell ref="BR14:BR25"/>
    <mergeCell ref="AW4:AZ5"/>
    <mergeCell ref="AW25:AZ25"/>
    <mergeCell ref="BC4:BC10"/>
    <mergeCell ref="BB11:BB14"/>
    <mergeCell ref="BA4:BA10"/>
    <mergeCell ref="BB16:BB18"/>
    <mergeCell ref="BE15:BE16"/>
    <mergeCell ref="BB19:BB20"/>
    <mergeCell ref="BL14:BL25"/>
    <mergeCell ref="BA14:BA15"/>
    <mergeCell ref="BA16:BA17"/>
    <mergeCell ref="BA20:BA22"/>
    <mergeCell ref="CB15:CB20"/>
    <mergeCell ref="BF4:BN8"/>
    <mergeCell ref="BV4:BV13"/>
    <mergeCell ref="CB4:CB11"/>
    <mergeCell ref="BT4:BT13"/>
    <mergeCell ref="BT15:BT20"/>
    <mergeCell ref="BU4:BU11"/>
    <mergeCell ref="BV15:BV20"/>
    <mergeCell ref="N3:Q3"/>
    <mergeCell ref="BX4:BX13"/>
    <mergeCell ref="BW15:BW20"/>
    <mergeCell ref="BI14:BI25"/>
    <mergeCell ref="BH14:BH25"/>
    <mergeCell ref="AP10:AP11"/>
    <mergeCell ref="BG14:BG25"/>
    <mergeCell ref="BN14:BN25"/>
    <mergeCell ref="BU15:BU20"/>
    <mergeCell ref="BJ14:BJ25"/>
    <mergeCell ref="AW24:AZ24"/>
    <mergeCell ref="AR25:AS25"/>
    <mergeCell ref="BF11:BN12"/>
    <mergeCell ref="W4:W14"/>
    <mergeCell ref="BD3:BD25"/>
    <mergeCell ref="AW3:AX3"/>
    <mergeCell ref="AP12:AP13"/>
    <mergeCell ref="AR17:AS17"/>
    <mergeCell ref="AR4:AS10"/>
    <mergeCell ref="U4:U13"/>
    <mergeCell ref="AP4:AP7"/>
    <mergeCell ref="AM14:AM24"/>
    <mergeCell ref="AK14:AK24"/>
    <mergeCell ref="AL14:AL24"/>
    <mergeCell ref="CH4:CH7"/>
    <mergeCell ref="CG13:CG14"/>
    <mergeCell ref="CG4:CG10"/>
    <mergeCell ref="BM14:BM25"/>
    <mergeCell ref="BZ4:BZ14"/>
    <mergeCell ref="BK14:BK25"/>
    <mergeCell ref="BF10:BN10"/>
    <mergeCell ref="CF4:CF9"/>
    <mergeCell ref="BY3:BY25"/>
    <mergeCell ref="BW4:BW13"/>
    <mergeCell ref="CA4:CA11"/>
    <mergeCell ref="CD4:CD10"/>
    <mergeCell ref="CE4:CE7"/>
    <mergeCell ref="BS4:BS8"/>
    <mergeCell ref="BF3:BI3"/>
    <mergeCell ref="CC4:CC12"/>
    <mergeCell ref="BX15:BX20"/>
    <mergeCell ref="CD14:CD15"/>
    <mergeCell ref="CD16:CD17"/>
    <mergeCell ref="CD20:CD22"/>
    <mergeCell ref="BS13:BS14"/>
    <mergeCell ref="BS11:BS12"/>
    <mergeCell ref="A3:A25"/>
    <mergeCell ref="V3:V25"/>
    <mergeCell ref="AR16:AS16"/>
    <mergeCell ref="AQ4:AQ7"/>
    <mergeCell ref="AP8:AP9"/>
    <mergeCell ref="L19:M20"/>
    <mergeCell ref="L4:M10"/>
    <mergeCell ref="L25:M25"/>
    <mergeCell ref="C13:C25"/>
    <mergeCell ref="H13:H25"/>
    <mergeCell ref="C11:E11"/>
    <mergeCell ref="N13:Q13"/>
    <mergeCell ref="N12:Q12"/>
    <mergeCell ref="L17:M17"/>
    <mergeCell ref="N20:Q20"/>
    <mergeCell ref="N25:Q25"/>
    <mergeCell ref="N11:Q11"/>
    <mergeCell ref="L16:M16"/>
    <mergeCell ref="L22:M22"/>
    <mergeCell ref="L21:M21"/>
    <mergeCell ref="B4:B23"/>
    <mergeCell ref="F4:H7"/>
    <mergeCell ref="F10:H10"/>
    <mergeCell ref="F11:H11"/>
    <mergeCell ref="F13:F25"/>
    <mergeCell ref="C10:E10"/>
    <mergeCell ref="C4:E7"/>
    <mergeCell ref="D13:D25"/>
    <mergeCell ref="E13:E25"/>
    <mergeCell ref="T12:T13"/>
    <mergeCell ref="T14:T15"/>
    <mergeCell ref="T16:T17"/>
    <mergeCell ref="T4:T10"/>
    <mergeCell ref="N8:Q8"/>
    <mergeCell ref="L18:M18"/>
    <mergeCell ref="N19:Q19"/>
    <mergeCell ref="N17:Q17"/>
    <mergeCell ref="N18:Q18"/>
    <mergeCell ref="N21:Q21"/>
    <mergeCell ref="N10:Q10"/>
    <mergeCell ref="N9:Q9"/>
    <mergeCell ref="N15:Q15"/>
    <mergeCell ref="N4:Q7"/>
    <mergeCell ref="N16:Q16"/>
    <mergeCell ref="S4:S11"/>
    <mergeCell ref="S14:S15"/>
    <mergeCell ref="N14:Q14"/>
    <mergeCell ref="I4:K7"/>
    <mergeCell ref="Y4:Y8"/>
    <mergeCell ref="I10:K10"/>
    <mergeCell ref="I11:K11"/>
    <mergeCell ref="G15:G25"/>
    <mergeCell ref="K13:K25"/>
    <mergeCell ref="J13:J25"/>
    <mergeCell ref="I13:I25"/>
    <mergeCell ref="AN14:AN24"/>
    <mergeCell ref="AO14:AO24"/>
    <mergeCell ref="N22:Q23"/>
    <mergeCell ref="R4:R12"/>
    <mergeCell ref="AA14:AA24"/>
    <mergeCell ref="AB14:AB24"/>
    <mergeCell ref="AC14:AC24"/>
    <mergeCell ref="AD14:AD24"/>
    <mergeCell ref="AE14:AE24"/>
    <mergeCell ref="AF14:AF24"/>
    <mergeCell ref="AH14:AH24"/>
    <mergeCell ref="AI14:AI24"/>
    <mergeCell ref="AJ14:AJ24"/>
    <mergeCell ref="W19:W20"/>
    <mergeCell ref="T18:T19"/>
    <mergeCell ref="X4:X8"/>
    <mergeCell ref="R19:R20"/>
    <mergeCell ref="AA3:AD3"/>
    <mergeCell ref="AH3:AK3"/>
    <mergeCell ref="Z4:Z11"/>
    <mergeCell ref="AA4:AF8"/>
    <mergeCell ref="AG4:AG9"/>
    <mergeCell ref="AH4:AO8"/>
    <mergeCell ref="AA10:AF10"/>
    <mergeCell ref="AH10:AO10"/>
    <mergeCell ref="AA11:AF12"/>
    <mergeCell ref="AH11:AO12"/>
  </mergeCells>
  <pageMargins left="0.25" right="0.25" top="0.75" bottom="0.75" header="0.3" footer="0.3"/>
  <pageSetup scale="84" firstPageNumber="7" fitToWidth="0" orientation="landscape" r:id="rId10"/>
  <headerFooter>
    <oddFooter>&amp;C&amp;P</oddFooter>
  </headerFooter>
  <colBreaks count="3" manualBreakCount="3">
    <brk id="19" max="39" man="1"/>
    <brk id="41" max="39" man="1"/>
    <brk id="55" max="39" man="1"/>
  </colBreaks>
  <drawing r:id="rId1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CC52"/>
  <sheetViews>
    <sheetView view="pageBreakPreview" topLeftCell="O1" zoomScaleNormal="160" zoomScaleSheetLayoutView="100" zoomScalePageLayoutView="90" workbookViewId="0">
      <selection activeCell="CB14" sqref="CB14:CB24"/>
    </sheetView>
  </sheetViews>
  <sheetFormatPr defaultColWidth="9.140625" defaultRowHeight="12.75"/>
  <cols>
    <col min="1" max="1" width="3.5703125" style="135" customWidth="1"/>
    <col min="2" max="2" width="5.5703125" style="135" customWidth="1"/>
    <col min="3" max="3" width="8.5703125" style="135" customWidth="1"/>
    <col min="4" max="4" width="5.140625" style="135" customWidth="1"/>
    <col min="5" max="5" width="12.140625" style="135" customWidth="1"/>
    <col min="6" max="6" width="8.42578125" style="135" customWidth="1"/>
    <col min="7" max="7" width="3.85546875" style="135" customWidth="1"/>
    <col min="8" max="8" width="9.7109375" style="135" customWidth="1"/>
    <col min="9" max="9" width="10" style="135" customWidth="1"/>
    <col min="10" max="10" width="2.5703125" style="135" customWidth="1"/>
    <col min="11" max="11" width="15" style="135" customWidth="1"/>
    <col min="12" max="12" width="2.85546875" style="135" customWidth="1"/>
    <col min="13" max="13" width="18.140625" style="135" customWidth="1"/>
    <col min="14" max="14" width="19.28515625" style="135" customWidth="1"/>
    <col min="15" max="15" width="12.28515625" style="135" customWidth="1"/>
    <col min="16" max="16" width="3.5703125" style="135" customWidth="1"/>
    <col min="17" max="25" width="4.28515625" style="135" customWidth="1"/>
    <col min="26" max="26" width="4.28515625" style="784" customWidth="1"/>
    <col min="27" max="27" width="3.85546875" style="784" customWidth="1"/>
    <col min="28" max="28" width="3" style="135" customWidth="1"/>
    <col min="29" max="29" width="9.28515625" style="135" customWidth="1"/>
    <col min="30" max="30" width="12.7109375" style="135" customWidth="1"/>
    <col min="31" max="35" width="11.28515625" style="135" customWidth="1"/>
    <col min="36" max="36" width="12.5703125" style="784" customWidth="1"/>
    <col min="37" max="37" width="11.28515625" style="784" customWidth="1"/>
    <col min="38" max="38" width="11.140625" style="784" customWidth="1"/>
    <col min="39" max="39" width="3.5703125" style="135" customWidth="1"/>
    <col min="40" max="40" width="13.7109375" style="135" customWidth="1"/>
    <col min="41" max="41" width="10.7109375" style="135" customWidth="1"/>
    <col min="42" max="42" width="17.28515625" style="135" customWidth="1"/>
    <col min="43" max="43" width="10.7109375" style="135" customWidth="1"/>
    <col min="44" max="44" width="35.5703125" style="135" customWidth="1"/>
    <col min="45" max="45" width="10.7109375" style="135" customWidth="1"/>
    <col min="46" max="47" width="14.85546875" style="784" customWidth="1"/>
    <col min="48" max="49" width="10.7109375" style="135" customWidth="1"/>
    <col min="50" max="50" width="14.42578125" style="135" customWidth="1"/>
    <col min="51" max="51" width="9.140625" style="135" customWidth="1"/>
    <col min="52" max="54" width="10.7109375" style="135" customWidth="1"/>
    <col min="55" max="56" width="13.42578125" style="784" customWidth="1"/>
    <col min="57" max="57" width="7.28515625" style="135" customWidth="1"/>
    <col min="58" max="58" width="7.7109375" style="135" customWidth="1"/>
    <col min="59" max="59" width="12.28515625" style="135" customWidth="1"/>
    <col min="60" max="60" width="7.85546875" style="135" customWidth="1"/>
    <col min="61" max="61" width="3.5703125" style="135" customWidth="1"/>
    <col min="62" max="62" width="14.140625" style="135" customWidth="1"/>
    <col min="63" max="63" width="15.5703125" style="135" customWidth="1"/>
    <col min="64" max="64" width="11.28515625" style="135" customWidth="1"/>
    <col min="65" max="65" width="9" style="135" customWidth="1"/>
    <col min="66" max="66" width="17.28515625" style="135" customWidth="1"/>
    <col min="67" max="67" width="14.140625" style="135" customWidth="1"/>
    <col min="68" max="69" width="10.5703125" style="135" customWidth="1"/>
    <col min="70" max="71" width="10.5703125" style="784" customWidth="1"/>
    <col min="72" max="72" width="10.5703125" style="769" customWidth="1"/>
    <col min="73" max="73" width="13.28515625" style="784" customWidth="1"/>
    <col min="74" max="76" width="10.85546875" style="784" customWidth="1"/>
    <col min="77" max="77" width="10.85546875" style="769" customWidth="1"/>
    <col min="78" max="78" width="3.140625" style="784" customWidth="1"/>
    <col min="79" max="79" width="10.85546875" style="784" customWidth="1"/>
    <col min="80" max="80" width="14.7109375" style="784" customWidth="1"/>
    <col min="81" max="81" width="9.140625" style="769"/>
    <col min="82" max="16384" width="9.140625" style="271"/>
  </cols>
  <sheetData>
    <row r="1" spans="1:80" ht="15.75" customHeight="1">
      <c r="A1" s="133" t="s">
        <v>608</v>
      </c>
      <c r="B1" s="133"/>
      <c r="C1" s="281"/>
      <c r="D1" s="281"/>
      <c r="E1" s="285"/>
      <c r="F1" s="285"/>
      <c r="G1" s="285"/>
      <c r="H1" s="285"/>
      <c r="I1" s="285"/>
      <c r="J1" s="412"/>
      <c r="K1" s="285"/>
      <c r="L1" s="285"/>
      <c r="M1" s="285"/>
      <c r="N1" s="285"/>
      <c r="O1" s="285"/>
      <c r="P1" s="133" t="s">
        <v>608</v>
      </c>
      <c r="R1" s="349"/>
      <c r="S1" s="349"/>
      <c r="T1" s="349"/>
      <c r="U1" s="286"/>
      <c r="V1" s="286"/>
      <c r="W1" s="286"/>
      <c r="X1" s="286"/>
      <c r="Y1" s="286"/>
      <c r="Z1" s="311"/>
      <c r="AA1" s="311"/>
      <c r="AB1" s="285"/>
      <c r="AC1" s="285"/>
      <c r="AD1" s="285"/>
      <c r="AE1" s="285"/>
      <c r="AF1" s="285"/>
      <c r="AG1" s="285"/>
      <c r="AH1" s="285"/>
      <c r="AI1" s="285"/>
      <c r="AJ1" s="731"/>
      <c r="AK1" s="731"/>
      <c r="AL1" s="731"/>
      <c r="AN1" s="285"/>
      <c r="AO1" s="285"/>
      <c r="AP1" s="285"/>
      <c r="AQ1" s="285"/>
      <c r="AR1" s="133" t="s">
        <v>608</v>
      </c>
      <c r="AS1" s="285"/>
      <c r="AT1" s="731"/>
      <c r="AU1" s="731"/>
      <c r="AV1" s="285"/>
      <c r="AW1" s="412"/>
      <c r="AX1" s="412"/>
      <c r="AY1" s="285"/>
      <c r="AZ1" s="285"/>
      <c r="BA1" s="285"/>
      <c r="BB1" s="285"/>
      <c r="BC1" s="731"/>
      <c r="BD1" s="731"/>
      <c r="BE1" s="412"/>
      <c r="BF1" s="412"/>
      <c r="BG1" s="412"/>
      <c r="BH1" s="285"/>
      <c r="BI1" s="133" t="s">
        <v>608</v>
      </c>
      <c r="BJ1" s="412"/>
      <c r="BK1" s="412"/>
      <c r="BL1" s="285"/>
      <c r="BM1" s="412"/>
      <c r="BN1" s="285"/>
      <c r="BO1" s="412"/>
      <c r="BP1" s="285"/>
      <c r="BQ1" s="412"/>
      <c r="BR1" s="803"/>
      <c r="BS1" s="803"/>
      <c r="BU1" s="803"/>
      <c r="BV1" s="803"/>
      <c r="BW1" s="803"/>
      <c r="BX1" s="803"/>
      <c r="BZ1" s="803"/>
      <c r="CA1" s="803"/>
      <c r="CB1" s="803"/>
    </row>
    <row r="2" spans="1:80" ht="15.75" customHeight="1">
      <c r="A2" s="133"/>
      <c r="B2" s="133"/>
      <c r="C2" s="281"/>
      <c r="D2" s="281"/>
      <c r="E2" s="314"/>
      <c r="F2" s="314"/>
      <c r="G2" s="314"/>
      <c r="H2" s="314"/>
      <c r="I2" s="314"/>
      <c r="J2" s="269"/>
      <c r="K2" s="314"/>
      <c r="L2" s="314"/>
      <c r="M2" s="314"/>
      <c r="N2" s="314"/>
      <c r="O2" s="314"/>
      <c r="P2" s="133"/>
      <c r="R2" s="413"/>
      <c r="S2" s="413"/>
      <c r="T2" s="413"/>
      <c r="U2" s="311"/>
      <c r="V2" s="311"/>
      <c r="W2" s="311"/>
      <c r="X2" s="311"/>
      <c r="Y2" s="311"/>
      <c r="Z2" s="311"/>
      <c r="AA2" s="311"/>
      <c r="AB2" s="314"/>
      <c r="AC2" s="314"/>
      <c r="AD2" s="314"/>
      <c r="AE2" s="314"/>
      <c r="AF2" s="314"/>
      <c r="AG2" s="314"/>
      <c r="AH2" s="314"/>
      <c r="AI2" s="314"/>
      <c r="AJ2" s="43"/>
      <c r="AK2" s="43"/>
      <c r="AL2" s="43"/>
      <c r="AM2" s="134"/>
      <c r="AN2" s="314"/>
      <c r="AO2" s="314"/>
      <c r="AP2" s="314"/>
      <c r="AQ2" s="314"/>
      <c r="AR2" s="314"/>
      <c r="AS2" s="314"/>
      <c r="AT2" s="43"/>
      <c r="AU2" s="43"/>
      <c r="AV2" s="314"/>
      <c r="AW2" s="269"/>
      <c r="AX2" s="269"/>
      <c r="AY2" s="314"/>
      <c r="AZ2" s="314"/>
      <c r="BA2" s="314"/>
      <c r="BB2" s="314"/>
      <c r="BC2" s="43"/>
      <c r="BD2" s="43"/>
      <c r="BE2" s="269"/>
      <c r="BF2" s="269"/>
      <c r="BG2" s="269"/>
      <c r="BH2" s="269"/>
      <c r="BI2" s="134"/>
      <c r="BJ2" s="269"/>
      <c r="BK2" s="269"/>
      <c r="BL2" s="314"/>
      <c r="BM2" s="269"/>
      <c r="BN2" s="314"/>
      <c r="BO2" s="269"/>
      <c r="BP2" s="269"/>
      <c r="BQ2" s="269"/>
      <c r="BR2" s="41"/>
      <c r="BS2" s="41"/>
      <c r="BU2" s="41"/>
      <c r="BV2" s="41"/>
      <c r="BW2" s="41"/>
      <c r="BX2" s="41"/>
      <c r="BZ2" s="41"/>
      <c r="CA2" s="41"/>
      <c r="CB2" s="41"/>
    </row>
    <row r="3" spans="1:80" ht="15.75" customHeight="1">
      <c r="A3" s="283"/>
      <c r="B3" s="283"/>
      <c r="C3" s="314"/>
      <c r="D3" s="314"/>
      <c r="E3" s="314"/>
      <c r="F3" s="314"/>
      <c r="G3" s="314"/>
      <c r="H3" s="314"/>
      <c r="I3" s="314"/>
      <c r="J3" s="314"/>
      <c r="K3" s="314"/>
      <c r="L3" s="314"/>
      <c r="M3" s="314"/>
      <c r="N3" s="314"/>
      <c r="O3" s="314"/>
      <c r="P3" s="283"/>
      <c r="Q3" s="311"/>
      <c r="R3" s="311"/>
      <c r="S3" s="311"/>
      <c r="T3" s="311"/>
      <c r="U3" s="311"/>
      <c r="V3" s="311"/>
      <c r="W3" s="311"/>
      <c r="X3" s="311"/>
      <c r="Y3" s="311"/>
      <c r="Z3" s="311"/>
      <c r="AA3" s="311"/>
      <c r="AB3" s="314"/>
      <c r="AC3" s="314"/>
      <c r="AD3" s="314"/>
      <c r="AE3" s="314"/>
      <c r="AF3" s="314"/>
      <c r="AG3" s="314"/>
      <c r="AH3" s="314"/>
      <c r="AI3" s="314"/>
      <c r="AJ3" s="43"/>
      <c r="AK3" s="43"/>
      <c r="AL3" s="43"/>
      <c r="AM3" s="269"/>
      <c r="AN3" s="314"/>
      <c r="AO3" s="314"/>
      <c r="AP3" s="314"/>
      <c r="AQ3" s="314"/>
      <c r="AR3" s="314"/>
      <c r="AS3" s="314"/>
      <c r="AT3" s="43"/>
      <c r="AU3" s="43"/>
      <c r="AV3" s="314"/>
      <c r="AW3" s="314"/>
      <c r="AX3" s="314"/>
      <c r="AY3" s="314"/>
      <c r="AZ3" s="314"/>
      <c r="BA3" s="314"/>
      <c r="BB3" s="314"/>
      <c r="BC3" s="43"/>
      <c r="BD3" s="43"/>
      <c r="BE3" s="414"/>
      <c r="BF3" s="414"/>
      <c r="BG3" s="414"/>
      <c r="BH3" s="414"/>
      <c r="BI3" s="269"/>
      <c r="BJ3" s="414"/>
      <c r="BK3" s="414"/>
      <c r="BL3" s="314"/>
      <c r="BM3" s="314"/>
      <c r="BN3" s="314"/>
      <c r="BO3" s="414"/>
      <c r="BP3" s="269"/>
      <c r="BQ3" s="414"/>
      <c r="BR3" s="804"/>
      <c r="BS3" s="804"/>
      <c r="BU3" s="804"/>
      <c r="BV3" s="804"/>
      <c r="BW3" s="804"/>
      <c r="BX3" s="804"/>
      <c r="BZ3" s="804"/>
      <c r="CA3" s="804"/>
      <c r="CB3" s="804"/>
    </row>
    <row r="4" spans="1:80" ht="14.25" customHeight="1">
      <c r="A4" s="2193" t="s">
        <v>187</v>
      </c>
      <c r="B4" s="415">
        <v>3</v>
      </c>
      <c r="C4" s="415">
        <f>B4+0.01</f>
        <v>3.01</v>
      </c>
      <c r="D4" s="147">
        <f>C4+0.01</f>
        <v>3.0199999999999996</v>
      </c>
      <c r="E4" s="416"/>
      <c r="F4" s="97">
        <f>D4+0.01</f>
        <v>3.0299999999999994</v>
      </c>
      <c r="G4" s="2184">
        <f>F4+0.01</f>
        <v>3.0399999999999991</v>
      </c>
      <c r="H4" s="2368"/>
      <c r="I4" s="97">
        <f>G4+0.01</f>
        <v>3.0499999999999989</v>
      </c>
      <c r="J4" s="2184">
        <f>I4+0.01</f>
        <v>3.0599999999999987</v>
      </c>
      <c r="K4" s="2368"/>
      <c r="L4" s="2184">
        <f>J4+0.01</f>
        <v>3.0699999999999985</v>
      </c>
      <c r="M4" s="2368"/>
      <c r="N4" s="97">
        <f>L4+0.01</f>
        <v>3.0799999999999983</v>
      </c>
      <c r="O4" s="97">
        <f>N4+0.01</f>
        <v>3.0899999999999981</v>
      </c>
      <c r="P4" s="2375" t="s">
        <v>187</v>
      </c>
      <c r="Q4" s="2185">
        <f>O4+0.01</f>
        <v>3.0999999999999979</v>
      </c>
      <c r="R4" s="2185"/>
      <c r="S4" s="417"/>
      <c r="T4" s="417"/>
      <c r="U4" s="417"/>
      <c r="V4" s="417"/>
      <c r="W4" s="417"/>
      <c r="X4" s="417"/>
      <c r="Y4" s="417"/>
      <c r="Z4" s="777"/>
      <c r="AA4" s="785"/>
      <c r="AB4" s="2185">
        <f>Q4+0.01</f>
        <v>3.1099999999999977</v>
      </c>
      <c r="AC4" s="2368"/>
      <c r="AD4" s="415">
        <f>AB4+0.01</f>
        <v>3.1199999999999974</v>
      </c>
      <c r="AE4" s="415">
        <f>AD4+0.01</f>
        <v>3.1299999999999972</v>
      </c>
      <c r="AF4" s="415">
        <f>AE4+0.01</f>
        <v>3.139999999999997</v>
      </c>
      <c r="AG4" s="415">
        <f>AF4+0.01</f>
        <v>3.1499999999999968</v>
      </c>
      <c r="AH4" s="415">
        <f>AG4+0.01</f>
        <v>3.1599999999999966</v>
      </c>
      <c r="AI4" s="415">
        <f>AH4+0.01</f>
        <v>3.1699999999999964</v>
      </c>
      <c r="AJ4" s="1099" t="str">
        <f>CONCATENATE(AI4+0.01,"a")</f>
        <v>3,18a</v>
      </c>
      <c r="AK4" s="1099" t="str">
        <f>CONCATENATE(AI4+0.01,"b")</f>
        <v>3,18b</v>
      </c>
      <c r="AL4" s="1099" t="str">
        <f>CONCATENATE(AI4+0.01,"c")</f>
        <v>3,18c</v>
      </c>
      <c r="AM4" s="2193" t="s">
        <v>187</v>
      </c>
      <c r="AN4" s="97">
        <f>AI4+0.02</f>
        <v>3.1899999999999964</v>
      </c>
      <c r="AO4" s="97">
        <f>AN4+0.01</f>
        <v>3.1999999999999962</v>
      </c>
      <c r="AP4" s="97">
        <f>AO4+0.01</f>
        <v>3.209999999999996</v>
      </c>
      <c r="AQ4" s="97">
        <f>AP4+0.01</f>
        <v>3.2199999999999958</v>
      </c>
      <c r="AR4" s="97">
        <f>AQ4+0.01</f>
        <v>3.2299999999999955</v>
      </c>
      <c r="AS4" s="97">
        <f>AR4+0.01</f>
        <v>3.2399999999999953</v>
      </c>
      <c r="AT4" s="852" t="str">
        <f>CONCATENATE(AS4, "a")</f>
        <v>3,24a</v>
      </c>
      <c r="AU4" s="1069" t="str">
        <f>CONCATENATE(AS4,"b")</f>
        <v>3,24b</v>
      </c>
      <c r="AV4" s="147">
        <f>AS4+0.01</f>
        <v>3.2499999999999951</v>
      </c>
      <c r="AW4" s="97">
        <f t="shared" ref="AW4:BB4" si="0">AV4+0.01</f>
        <v>3.2599999999999949</v>
      </c>
      <c r="AX4" s="97">
        <f>AW4+0.01</f>
        <v>3.2699999999999947</v>
      </c>
      <c r="AY4" s="97">
        <f>AX4+0.01</f>
        <v>3.2799999999999945</v>
      </c>
      <c r="AZ4" s="97">
        <f t="shared" si="0"/>
        <v>3.2899999999999943</v>
      </c>
      <c r="BA4" s="97">
        <f t="shared" si="0"/>
        <v>3.299999999999994</v>
      </c>
      <c r="BB4" s="147">
        <f t="shared" si="0"/>
        <v>3.3099999999999938</v>
      </c>
      <c r="BC4" s="1081" t="str">
        <f>CONCATENATE("(",TEXT(BB4,"0,00"),"a)")</f>
        <v>(3,31a)</v>
      </c>
      <c r="BD4" s="1070" t="str">
        <f>CONCATENATE("(",TEXT(BB4,"0,00"),"b)")</f>
        <v>(3,31b)</v>
      </c>
      <c r="BE4" s="97">
        <f>BB4+0.01</f>
        <v>3.3199999999999936</v>
      </c>
      <c r="BF4" s="97">
        <f>BE4+0.01</f>
        <v>3.3299999999999934</v>
      </c>
      <c r="BG4" s="97">
        <f>BF4+0.01</f>
        <v>3.3399999999999932</v>
      </c>
      <c r="BH4" s="97">
        <f>BG4+0.01</f>
        <v>3.349999999999993</v>
      </c>
      <c r="BI4" s="2193" t="s">
        <v>187</v>
      </c>
      <c r="BJ4" s="418">
        <f>BH4+0.01</f>
        <v>3.3599999999999928</v>
      </c>
      <c r="BK4" s="97">
        <f t="shared" ref="BK4:BT4" si="1">BJ4+0.01</f>
        <v>3.3699999999999926</v>
      </c>
      <c r="BL4" s="415">
        <f t="shared" si="1"/>
        <v>3.3799999999999923</v>
      </c>
      <c r="BM4" s="97">
        <f t="shared" si="1"/>
        <v>3.3899999999999921</v>
      </c>
      <c r="BN4" s="97">
        <f t="shared" si="1"/>
        <v>3.3999999999999919</v>
      </c>
      <c r="BO4" s="97">
        <f t="shared" si="1"/>
        <v>3.4099999999999917</v>
      </c>
      <c r="BP4" s="97">
        <f t="shared" si="1"/>
        <v>3.4199999999999915</v>
      </c>
      <c r="BQ4" s="97">
        <f t="shared" si="1"/>
        <v>3.4299999999999913</v>
      </c>
      <c r="BR4" s="805">
        <f t="shared" si="1"/>
        <v>3.4399999999999911</v>
      </c>
      <c r="BS4" s="805">
        <f t="shared" si="1"/>
        <v>3.4499999999999909</v>
      </c>
      <c r="BT4" s="805">
        <f t="shared" si="1"/>
        <v>3.4599999999999906</v>
      </c>
      <c r="BU4" s="805">
        <f>BT4+0.01</f>
        <v>3.4699999999999904</v>
      </c>
      <c r="BV4" s="805">
        <f>BU4+0.01</f>
        <v>3.4799999999999902</v>
      </c>
      <c r="BW4" s="854">
        <f>BV4+0.01</f>
        <v>3.48999999999999</v>
      </c>
      <c r="BX4" s="1068">
        <f>BW4+0.01</f>
        <v>3.4999999999999898</v>
      </c>
      <c r="BY4" s="854">
        <f>BX4+0.01</f>
        <v>3.5099999999999896</v>
      </c>
      <c r="BZ4" s="855"/>
      <c r="CA4" s="1069">
        <f>BY4+0.01</f>
        <v>3.5199999999999894</v>
      </c>
      <c r="CB4" s="1070">
        <f>CA4+0.01</f>
        <v>3.5299999999999891</v>
      </c>
    </row>
    <row r="5" spans="1:80" ht="14.25" customHeight="1">
      <c r="A5" s="2194"/>
      <c r="B5" s="2227" t="s">
        <v>190</v>
      </c>
      <c r="C5" s="2191" t="s">
        <v>609</v>
      </c>
      <c r="D5" s="2210" t="s">
        <v>610</v>
      </c>
      <c r="E5" s="2212"/>
      <c r="F5" s="2191" t="s">
        <v>611</v>
      </c>
      <c r="G5" s="2217" t="s">
        <v>612</v>
      </c>
      <c r="H5" s="2342"/>
      <c r="I5" s="2174" t="s">
        <v>613</v>
      </c>
      <c r="J5" s="2338" t="s">
        <v>614</v>
      </c>
      <c r="K5" s="2371"/>
      <c r="L5" s="2338" t="s">
        <v>615</v>
      </c>
      <c r="M5" s="2371"/>
      <c r="N5" s="2191" t="s">
        <v>616</v>
      </c>
      <c r="O5" s="2191" t="s">
        <v>617</v>
      </c>
      <c r="P5" s="2223"/>
      <c r="Q5" s="2374" t="s">
        <v>618</v>
      </c>
      <c r="R5" s="2374"/>
      <c r="S5" s="2374"/>
      <c r="T5" s="2374"/>
      <c r="U5" s="2374"/>
      <c r="V5" s="2374"/>
      <c r="W5" s="2374"/>
      <c r="X5" s="2374"/>
      <c r="Y5" s="2374"/>
      <c r="Z5" s="171"/>
      <c r="AA5" s="172"/>
      <c r="AB5" s="2186" t="s">
        <v>619</v>
      </c>
      <c r="AC5" s="2173"/>
      <c r="AD5" s="2199" t="s">
        <v>620</v>
      </c>
      <c r="AE5" s="2174" t="s">
        <v>621</v>
      </c>
      <c r="AF5" s="2174" t="s">
        <v>622</v>
      </c>
      <c r="AG5" s="2174" t="s">
        <v>623</v>
      </c>
      <c r="AH5" s="2174" t="s">
        <v>624</v>
      </c>
      <c r="AI5" s="2174" t="s">
        <v>625</v>
      </c>
      <c r="AJ5" s="2199" t="s">
        <v>626</v>
      </c>
      <c r="AK5" s="2199" t="s">
        <v>627</v>
      </c>
      <c r="AL5" s="2199" t="s">
        <v>628</v>
      </c>
      <c r="AM5" s="2194"/>
      <c r="AN5" s="2192" t="s">
        <v>629</v>
      </c>
      <c r="AO5" s="2174" t="s">
        <v>630</v>
      </c>
      <c r="AP5" s="2191" t="s">
        <v>631</v>
      </c>
      <c r="AQ5" s="2174" t="s">
        <v>632</v>
      </c>
      <c r="AR5" s="2191" t="s">
        <v>633</v>
      </c>
      <c r="AS5" s="2174" t="s">
        <v>634</v>
      </c>
      <c r="AT5" s="2300" t="s">
        <v>635</v>
      </c>
      <c r="AU5" s="2397" t="s">
        <v>636</v>
      </c>
      <c r="AV5" s="2174" t="s">
        <v>637</v>
      </c>
      <c r="AW5" s="2174" t="s">
        <v>638</v>
      </c>
      <c r="AX5" s="2174" t="s">
        <v>639</v>
      </c>
      <c r="AY5" s="2191" t="s">
        <v>640</v>
      </c>
      <c r="AZ5" s="2191" t="s">
        <v>641</v>
      </c>
      <c r="BA5" s="2191" t="s">
        <v>642</v>
      </c>
      <c r="BB5" s="2217" t="s">
        <v>643</v>
      </c>
      <c r="BC5" s="2362" t="s">
        <v>644</v>
      </c>
      <c r="BD5" s="2258" t="s">
        <v>645</v>
      </c>
      <c r="BE5" s="2191" t="s">
        <v>646</v>
      </c>
      <c r="BF5" s="2191" t="s">
        <v>647</v>
      </c>
      <c r="BG5" s="2191" t="s">
        <v>648</v>
      </c>
      <c r="BH5" s="2191" t="s">
        <v>649</v>
      </c>
      <c r="BI5" s="2194"/>
      <c r="BJ5" s="2360" t="s">
        <v>650</v>
      </c>
      <c r="BK5" s="2191" t="s">
        <v>651</v>
      </c>
      <c r="BL5" s="2319" t="s">
        <v>652</v>
      </c>
      <c r="BM5" s="2216" t="s">
        <v>653</v>
      </c>
      <c r="BN5" s="2191" t="s">
        <v>654</v>
      </c>
      <c r="BO5" s="2191" t="s">
        <v>655</v>
      </c>
      <c r="BP5" s="2191" t="s">
        <v>656</v>
      </c>
      <c r="BQ5" s="2191" t="s">
        <v>657</v>
      </c>
      <c r="BR5" s="2231" t="s">
        <v>658</v>
      </c>
      <c r="BS5" s="2231" t="s">
        <v>659</v>
      </c>
      <c r="BT5" s="2231" t="s">
        <v>660</v>
      </c>
      <c r="BU5" s="2231" t="s">
        <v>661</v>
      </c>
      <c r="BV5" s="2231" t="s">
        <v>662</v>
      </c>
      <c r="BW5" s="2256" t="s">
        <v>663</v>
      </c>
      <c r="BX5" s="2399" t="s">
        <v>664</v>
      </c>
      <c r="BY5" s="2256" t="s">
        <v>665</v>
      </c>
      <c r="BZ5" s="1071"/>
      <c r="CA5" s="2257" t="s">
        <v>666</v>
      </c>
      <c r="CB5" s="2392" t="s">
        <v>667</v>
      </c>
    </row>
    <row r="6" spans="1:80" ht="13.5" customHeight="1">
      <c r="A6" s="2194"/>
      <c r="B6" s="2227"/>
      <c r="C6" s="2191"/>
      <c r="D6" s="2210"/>
      <c r="E6" s="2212"/>
      <c r="F6" s="2191"/>
      <c r="G6" s="2217"/>
      <c r="H6" s="2342"/>
      <c r="I6" s="2174"/>
      <c r="J6" s="2338"/>
      <c r="K6" s="2371"/>
      <c r="L6" s="2338"/>
      <c r="M6" s="2371"/>
      <c r="N6" s="2191"/>
      <c r="O6" s="2191"/>
      <c r="P6" s="2223"/>
      <c r="Q6" s="2374"/>
      <c r="R6" s="2374"/>
      <c r="S6" s="2374"/>
      <c r="T6" s="2374"/>
      <c r="U6" s="2374"/>
      <c r="V6" s="2374"/>
      <c r="W6" s="2374"/>
      <c r="X6" s="2374"/>
      <c r="Y6" s="2374"/>
      <c r="Z6" s="171"/>
      <c r="AA6" s="172"/>
      <c r="AB6" s="2186"/>
      <c r="AC6" s="2173"/>
      <c r="AD6" s="2199"/>
      <c r="AE6" s="2174"/>
      <c r="AF6" s="2174"/>
      <c r="AG6" s="2174"/>
      <c r="AH6" s="2174"/>
      <c r="AI6" s="2174"/>
      <c r="AJ6" s="2199"/>
      <c r="AK6" s="2199"/>
      <c r="AL6" s="2199"/>
      <c r="AM6" s="2194"/>
      <c r="AN6" s="2192"/>
      <c r="AO6" s="2174"/>
      <c r="AP6" s="2191"/>
      <c r="AQ6" s="2174"/>
      <c r="AR6" s="2191"/>
      <c r="AS6" s="2174"/>
      <c r="AT6" s="2300"/>
      <c r="AU6" s="2397"/>
      <c r="AV6" s="2174"/>
      <c r="AW6" s="2174"/>
      <c r="AX6" s="2174"/>
      <c r="AY6" s="2191"/>
      <c r="AZ6" s="2191"/>
      <c r="BA6" s="2191"/>
      <c r="BB6" s="2217"/>
      <c r="BC6" s="2362"/>
      <c r="BD6" s="2258"/>
      <c r="BE6" s="2191"/>
      <c r="BF6" s="2191"/>
      <c r="BG6" s="2191"/>
      <c r="BH6" s="2191"/>
      <c r="BI6" s="2194"/>
      <c r="BJ6" s="2360"/>
      <c r="BK6" s="2191"/>
      <c r="BL6" s="2319"/>
      <c r="BM6" s="2216"/>
      <c r="BN6" s="2191"/>
      <c r="BO6" s="2191"/>
      <c r="BP6" s="2191"/>
      <c r="BQ6" s="2191"/>
      <c r="BR6" s="2231"/>
      <c r="BS6" s="2231"/>
      <c r="BT6" s="2231"/>
      <c r="BU6" s="2231"/>
      <c r="BV6" s="2231"/>
      <c r="BW6" s="2256"/>
      <c r="BX6" s="2399"/>
      <c r="BY6" s="2256"/>
      <c r="BZ6" s="1071"/>
      <c r="CA6" s="2257"/>
      <c r="CB6" s="2392"/>
    </row>
    <row r="7" spans="1:80" ht="12.75" customHeight="1">
      <c r="A7" s="2194"/>
      <c r="B7" s="2227"/>
      <c r="C7" s="2191"/>
      <c r="D7" s="90"/>
      <c r="E7" s="866"/>
      <c r="F7" s="2191"/>
      <c r="G7" s="2217"/>
      <c r="H7" s="2342"/>
      <c r="I7" s="2174"/>
      <c r="J7" s="2338"/>
      <c r="K7" s="2371"/>
      <c r="L7" s="2338"/>
      <c r="M7" s="2371"/>
      <c r="N7" s="2191"/>
      <c r="O7" s="2191"/>
      <c r="P7" s="2223"/>
      <c r="Q7" s="2374"/>
      <c r="R7" s="2374"/>
      <c r="S7" s="2374"/>
      <c r="T7" s="2374"/>
      <c r="U7" s="2374"/>
      <c r="V7" s="2374"/>
      <c r="W7" s="2374"/>
      <c r="X7" s="2374"/>
      <c r="Y7" s="2374"/>
      <c r="Z7" s="171"/>
      <c r="AA7" s="172"/>
      <c r="AB7" s="2186"/>
      <c r="AC7" s="2173"/>
      <c r="AD7" s="2199"/>
      <c r="AE7" s="2174"/>
      <c r="AF7" s="2174"/>
      <c r="AG7" s="2174"/>
      <c r="AH7" s="2174"/>
      <c r="AI7" s="2174"/>
      <c r="AJ7" s="2199"/>
      <c r="AK7" s="2199"/>
      <c r="AL7" s="2199"/>
      <c r="AM7" s="2194"/>
      <c r="AN7" s="2192"/>
      <c r="AO7" s="2174"/>
      <c r="AP7" s="2191"/>
      <c r="AQ7" s="2174"/>
      <c r="AR7" s="2191"/>
      <c r="AS7" s="2174"/>
      <c r="AT7" s="2300"/>
      <c r="AU7" s="2397"/>
      <c r="AV7" s="2174"/>
      <c r="AW7" s="2174"/>
      <c r="AX7" s="2174"/>
      <c r="AY7" s="2191"/>
      <c r="AZ7" s="2191"/>
      <c r="BA7" s="2191"/>
      <c r="BB7" s="2217"/>
      <c r="BC7" s="2362"/>
      <c r="BD7" s="2258"/>
      <c r="BE7" s="2191"/>
      <c r="BF7" s="2191"/>
      <c r="BG7" s="2191"/>
      <c r="BH7" s="2191"/>
      <c r="BI7" s="2194"/>
      <c r="BJ7" s="2360"/>
      <c r="BK7" s="802"/>
      <c r="BL7" s="2319"/>
      <c r="BM7" s="2216"/>
      <c r="BN7" s="2191"/>
      <c r="BO7" s="2191"/>
      <c r="BP7" s="2191"/>
      <c r="BQ7" s="2191"/>
      <c r="BR7" s="2231"/>
      <c r="BS7" s="2231"/>
      <c r="BT7" s="2231"/>
      <c r="BU7" s="2231"/>
      <c r="BV7" s="2231"/>
      <c r="BW7" s="2256"/>
      <c r="BX7" s="2399"/>
      <c r="BY7" s="2256"/>
      <c r="BZ7" s="1071"/>
      <c r="CA7" s="2257"/>
      <c r="CB7" s="2392"/>
    </row>
    <row r="8" spans="1:80" ht="13.5" customHeight="1">
      <c r="A8" s="2194"/>
      <c r="B8" s="2227"/>
      <c r="C8" s="2191"/>
      <c r="D8" s="2319" t="s">
        <v>668</v>
      </c>
      <c r="E8" s="2342"/>
      <c r="F8" s="2191"/>
      <c r="G8" s="2217"/>
      <c r="H8" s="2342"/>
      <c r="I8" s="2174"/>
      <c r="J8" s="208"/>
      <c r="K8" s="866"/>
      <c r="L8" s="2338"/>
      <c r="M8" s="2371"/>
      <c r="N8" s="2191"/>
      <c r="O8" s="2191"/>
      <c r="P8" s="2223"/>
      <c r="Q8" s="2373" t="s">
        <v>669</v>
      </c>
      <c r="R8" s="2373"/>
      <c r="S8" s="2373"/>
      <c r="T8" s="2373"/>
      <c r="U8" s="2373"/>
      <c r="V8" s="2373"/>
      <c r="W8" s="2373"/>
      <c r="X8" s="2373"/>
      <c r="Y8" s="2373"/>
      <c r="Z8" s="858"/>
      <c r="AA8" s="682"/>
      <c r="AB8" s="2186"/>
      <c r="AC8" s="2173"/>
      <c r="AD8" s="2199"/>
      <c r="AE8" s="2174"/>
      <c r="AF8" s="2174"/>
      <c r="AG8" s="2174"/>
      <c r="AH8" s="2174"/>
      <c r="AI8" s="2174"/>
      <c r="AJ8" s="2199"/>
      <c r="AK8" s="2199"/>
      <c r="AL8" s="2199"/>
      <c r="AM8" s="2194"/>
      <c r="AN8" s="2192"/>
      <c r="AO8" s="2174"/>
      <c r="AP8" s="2191"/>
      <c r="AQ8" s="2174"/>
      <c r="AR8" s="2191"/>
      <c r="AS8" s="2174"/>
      <c r="AT8" s="2300"/>
      <c r="AU8" s="2397"/>
      <c r="AV8" s="2174"/>
      <c r="AW8" s="2174"/>
      <c r="AX8" s="2174"/>
      <c r="AY8" s="2191"/>
      <c r="AZ8" s="2191"/>
      <c r="BA8" s="2191"/>
      <c r="BB8" s="2217"/>
      <c r="BC8" s="2362"/>
      <c r="BD8" s="2258"/>
      <c r="BE8" s="2191"/>
      <c r="BF8" s="2191"/>
      <c r="BG8" s="2191"/>
      <c r="BH8" s="2191"/>
      <c r="BI8" s="2194"/>
      <c r="BJ8" s="2360"/>
      <c r="BK8" s="797"/>
      <c r="BL8" s="2319"/>
      <c r="BM8" s="2216"/>
      <c r="BN8" s="2191"/>
      <c r="BO8" s="2191"/>
      <c r="BP8" s="2191"/>
      <c r="BQ8" s="2191"/>
      <c r="BR8" s="2231"/>
      <c r="BS8" s="2231"/>
      <c r="BT8" s="2231"/>
      <c r="BU8" s="2231"/>
      <c r="BV8" s="2231"/>
      <c r="BW8" s="2256"/>
      <c r="BX8" s="2399"/>
      <c r="BY8" s="2256"/>
      <c r="BZ8" s="1071"/>
      <c r="CA8" s="2257"/>
      <c r="CB8" s="2392"/>
    </row>
    <row r="9" spans="1:80" ht="13.5" customHeight="1">
      <c r="A9" s="2194"/>
      <c r="B9" s="2227"/>
      <c r="C9" s="2191"/>
      <c r="D9" s="2319"/>
      <c r="E9" s="2342"/>
      <c r="F9" s="2191"/>
      <c r="G9" s="2217"/>
      <c r="H9" s="2342"/>
      <c r="I9" s="2174"/>
      <c r="J9" s="2293" t="s">
        <v>670</v>
      </c>
      <c r="K9" s="2295"/>
      <c r="L9" s="314"/>
      <c r="M9" s="1101" t="s">
        <v>671</v>
      </c>
      <c r="N9" s="2191"/>
      <c r="O9" s="2191"/>
      <c r="P9" s="2223"/>
      <c r="Q9" s="2373"/>
      <c r="R9" s="2373"/>
      <c r="S9" s="2373"/>
      <c r="T9" s="2373"/>
      <c r="U9" s="2373"/>
      <c r="V9" s="2373"/>
      <c r="W9" s="2373"/>
      <c r="X9" s="2373"/>
      <c r="Y9" s="2373"/>
      <c r="Z9" s="858"/>
      <c r="AA9" s="682"/>
      <c r="AB9" s="2186"/>
      <c r="AC9" s="2173"/>
      <c r="AD9" s="2199"/>
      <c r="AE9" s="2174"/>
      <c r="AF9" s="2174"/>
      <c r="AG9" s="2174"/>
      <c r="AH9" s="2174"/>
      <c r="AI9" s="2174"/>
      <c r="AJ9" s="2199"/>
      <c r="AK9" s="2199"/>
      <c r="AL9" s="2199"/>
      <c r="AM9" s="2194"/>
      <c r="AN9" s="2192"/>
      <c r="AO9" s="2174"/>
      <c r="AP9" s="2191"/>
      <c r="AQ9" s="2174"/>
      <c r="AR9" s="2191"/>
      <c r="AS9" s="2174"/>
      <c r="AT9" s="2300"/>
      <c r="AU9" s="2397"/>
      <c r="AV9" s="2174"/>
      <c r="AW9" s="2174"/>
      <c r="AX9" s="2174"/>
      <c r="AY9" s="2191"/>
      <c r="AZ9" s="2191"/>
      <c r="BA9" s="2191"/>
      <c r="BB9" s="2217"/>
      <c r="BC9" s="2362"/>
      <c r="BD9" s="2258"/>
      <c r="BE9" s="2191"/>
      <c r="BF9" s="2191"/>
      <c r="BG9" s="2191"/>
      <c r="BH9" s="2191"/>
      <c r="BI9" s="2194"/>
      <c r="BJ9" s="2360"/>
      <c r="BK9" s="797"/>
      <c r="BL9" s="2319"/>
      <c r="BM9" s="2216"/>
      <c r="BN9" s="2191"/>
      <c r="BO9" s="2191"/>
      <c r="BP9" s="2191"/>
      <c r="BQ9" s="2191"/>
      <c r="BR9" s="2231"/>
      <c r="BS9" s="2231"/>
      <c r="BT9" s="2231"/>
      <c r="BU9" s="2231"/>
      <c r="BV9" s="2231"/>
      <c r="BW9" s="2256"/>
      <c r="BX9" s="2399"/>
      <c r="BY9" s="2256"/>
      <c r="BZ9" s="1071"/>
      <c r="CA9" s="2257"/>
      <c r="CB9" s="2392"/>
    </row>
    <row r="10" spans="1:80" ht="13.5" customHeight="1">
      <c r="A10" s="2194"/>
      <c r="B10" s="2227"/>
      <c r="C10" s="2191"/>
      <c r="D10" s="2319"/>
      <c r="E10" s="2342"/>
      <c r="F10" s="2191"/>
      <c r="G10" s="2217"/>
      <c r="H10" s="2342"/>
      <c r="I10" s="2174"/>
      <c r="J10" s="2293"/>
      <c r="K10" s="2295"/>
      <c r="L10" s="1410">
        <v>1</v>
      </c>
      <c r="M10" s="423" t="s">
        <v>672</v>
      </c>
      <c r="N10" s="318"/>
      <c r="O10" s="2191"/>
      <c r="P10" s="2223"/>
      <c r="Q10" s="420"/>
      <c r="R10" s="420"/>
      <c r="S10" s="420"/>
      <c r="T10" s="420"/>
      <c r="U10" s="420"/>
      <c r="V10" s="420"/>
      <c r="W10" s="420"/>
      <c r="X10" s="420"/>
      <c r="Y10" s="420"/>
      <c r="Z10" s="778"/>
      <c r="AA10" s="786"/>
      <c r="AB10" s="2186"/>
      <c r="AC10" s="2173"/>
      <c r="AD10" s="2199"/>
      <c r="AE10" s="2174"/>
      <c r="AF10" s="2174"/>
      <c r="AG10" s="2174"/>
      <c r="AH10" s="2174"/>
      <c r="AI10" s="2174"/>
      <c r="AJ10" s="2199"/>
      <c r="AK10" s="2199"/>
      <c r="AL10" s="2199"/>
      <c r="AM10" s="2194"/>
      <c r="AN10" s="2192"/>
      <c r="AO10" s="2174"/>
      <c r="AP10" s="2191"/>
      <c r="AQ10" s="2174"/>
      <c r="AR10" s="2191"/>
      <c r="AS10" s="2174"/>
      <c r="AU10" s="1091"/>
      <c r="AV10" s="2174"/>
      <c r="AW10" s="2174"/>
      <c r="AX10" s="2174"/>
      <c r="AY10" s="2191"/>
      <c r="AZ10" s="117"/>
      <c r="BA10" s="122"/>
      <c r="BB10" s="119"/>
      <c r="BC10" s="2362"/>
      <c r="BD10" s="1071"/>
      <c r="BE10" s="2191"/>
      <c r="BF10" s="31"/>
      <c r="BG10" s="31"/>
      <c r="BH10" s="31"/>
      <c r="BI10" s="2194"/>
      <c r="BJ10" s="2360"/>
      <c r="BK10" s="2191" t="s">
        <v>673</v>
      </c>
      <c r="BL10" s="2319"/>
      <c r="BM10" s="2216"/>
      <c r="BN10" s="2191"/>
      <c r="BO10" s="2191"/>
      <c r="BP10" s="2191"/>
      <c r="BQ10" s="2191"/>
      <c r="BR10" s="2231"/>
      <c r="BS10" s="2231"/>
      <c r="BT10" s="2231"/>
      <c r="BU10" s="2231"/>
      <c r="BV10" s="2231"/>
      <c r="BW10" s="2256"/>
      <c r="BX10" s="2399"/>
      <c r="BY10" s="2256"/>
      <c r="BZ10" s="1071"/>
      <c r="CA10" s="2257"/>
      <c r="CB10" s="2392"/>
    </row>
    <row r="11" spans="1:80" ht="13.5" customHeight="1">
      <c r="A11" s="2194"/>
      <c r="B11" s="2227"/>
      <c r="C11" s="2191"/>
      <c r="D11" s="2319"/>
      <c r="E11" s="2342"/>
      <c r="F11" s="2191"/>
      <c r="G11" s="2217"/>
      <c r="H11" s="2342"/>
      <c r="I11" s="2174"/>
      <c r="J11" s="2293"/>
      <c r="K11" s="2295"/>
      <c r="L11" s="269">
        <v>2</v>
      </c>
      <c r="M11" s="423" t="s">
        <v>674</v>
      </c>
      <c r="N11" s="153" t="s">
        <v>675</v>
      </c>
      <c r="O11" s="2191"/>
      <c r="P11" s="2194"/>
      <c r="Q11" s="421" t="s">
        <v>263</v>
      </c>
      <c r="R11" s="422" t="s">
        <v>126</v>
      </c>
      <c r="S11" s="422" t="s">
        <v>148</v>
      </c>
      <c r="T11" s="422" t="s">
        <v>264</v>
      </c>
      <c r="U11" s="422" t="s">
        <v>265</v>
      </c>
      <c r="V11" s="422" t="s">
        <v>513</v>
      </c>
      <c r="W11" s="422" t="s">
        <v>514</v>
      </c>
      <c r="X11" s="422" t="s">
        <v>512</v>
      </c>
      <c r="Y11" s="422" t="s">
        <v>518</v>
      </c>
      <c r="Z11" s="779" t="s">
        <v>518</v>
      </c>
      <c r="AA11" s="779" t="s">
        <v>520</v>
      </c>
      <c r="AC11" s="423"/>
      <c r="AD11" s="2199"/>
      <c r="AE11" s="2174"/>
      <c r="AF11" s="2174"/>
      <c r="AG11" s="2174"/>
      <c r="AH11" s="2174"/>
      <c r="AI11" s="2174"/>
      <c r="AJ11" s="2199"/>
      <c r="AK11" s="2199"/>
      <c r="AL11" s="2199"/>
      <c r="AM11" s="2194"/>
      <c r="AN11" s="2192"/>
      <c r="AO11" s="28"/>
      <c r="AP11" s="2191"/>
      <c r="AQ11" s="28"/>
      <c r="AR11" s="2191"/>
      <c r="AS11" s="28"/>
      <c r="AU11" s="1091"/>
      <c r="AV11" s="2174"/>
      <c r="AW11" s="2174"/>
      <c r="AX11" s="2174"/>
      <c r="AY11" s="2191"/>
      <c r="AZ11" s="153"/>
      <c r="BA11" s="419"/>
      <c r="BB11" s="311"/>
      <c r="BC11" s="2362"/>
      <c r="BD11" s="1082"/>
      <c r="BE11" s="31"/>
      <c r="BF11" s="31"/>
      <c r="BG11" s="31"/>
      <c r="BH11" s="31"/>
      <c r="BI11" s="2194"/>
      <c r="BJ11" s="2360"/>
      <c r="BK11" s="2191"/>
      <c r="BL11" s="311"/>
      <c r="BM11" s="2216"/>
      <c r="BN11" s="2191"/>
      <c r="BO11" s="2191"/>
      <c r="BP11" s="2191"/>
      <c r="BQ11" s="2191"/>
      <c r="BR11" s="2231"/>
      <c r="BS11" s="2231"/>
      <c r="BT11" s="2231"/>
      <c r="BU11" s="2231"/>
      <c r="BV11" s="2231"/>
      <c r="BW11" s="2256"/>
      <c r="BX11" s="2399"/>
      <c r="BY11" s="2256"/>
      <c r="BZ11" s="1071"/>
      <c r="CA11" s="2257"/>
      <c r="CB11" s="2392"/>
    </row>
    <row r="12" spans="1:80" ht="13.5" customHeight="1">
      <c r="A12" s="2194"/>
      <c r="B12" s="2227"/>
      <c r="C12" s="2191"/>
      <c r="D12" s="2319"/>
      <c r="E12" s="2342"/>
      <c r="F12" s="2191"/>
      <c r="G12" s="2217"/>
      <c r="H12" s="2342"/>
      <c r="I12" s="2174"/>
      <c r="J12" s="2293"/>
      <c r="K12" s="2295"/>
      <c r="L12" s="1410">
        <v>3</v>
      </c>
      <c r="M12" s="29" t="s">
        <v>676</v>
      </c>
      <c r="N12" s="153" t="s">
        <v>677</v>
      </c>
      <c r="O12" s="2191"/>
      <c r="P12" s="2194"/>
      <c r="Q12" s="2355" t="s">
        <v>678</v>
      </c>
      <c r="R12" s="2355" t="s">
        <v>679</v>
      </c>
      <c r="S12" s="2355" t="s">
        <v>680</v>
      </c>
      <c r="T12" s="2355" t="s">
        <v>681</v>
      </c>
      <c r="U12" s="2355" t="s">
        <v>682</v>
      </c>
      <c r="V12" s="2355" t="s">
        <v>683</v>
      </c>
      <c r="W12" s="2355" t="s">
        <v>684</v>
      </c>
      <c r="X12" s="2355" t="s">
        <v>685</v>
      </c>
      <c r="Y12" s="2355" t="s">
        <v>686</v>
      </c>
      <c r="Z12" s="2377" t="s">
        <v>687</v>
      </c>
      <c r="AA12" s="2283" t="s">
        <v>688</v>
      </c>
      <c r="AB12" s="424" t="s">
        <v>689</v>
      </c>
      <c r="AC12" s="423"/>
      <c r="AD12" s="2199"/>
      <c r="AE12" s="2174"/>
      <c r="AF12" s="2174"/>
      <c r="AG12" s="2174"/>
      <c r="AH12" s="2174"/>
      <c r="AI12" s="2174"/>
      <c r="AJ12" s="2199"/>
      <c r="AK12" s="2199"/>
      <c r="AL12" s="2199"/>
      <c r="AM12" s="2194"/>
      <c r="AN12" s="2192"/>
      <c r="AO12" s="192"/>
      <c r="AP12" s="2191" t="s">
        <v>690</v>
      </c>
      <c r="AQ12" s="192"/>
      <c r="AR12" s="31"/>
      <c r="AS12" s="192"/>
      <c r="AT12" s="1092"/>
      <c r="AU12" s="1091"/>
      <c r="AV12" s="2174"/>
      <c r="AW12" s="2174"/>
      <c r="AX12" s="2174"/>
      <c r="AY12" s="2191"/>
      <c r="AZ12" s="153"/>
      <c r="BA12" s="419"/>
      <c r="BB12" s="311"/>
      <c r="BC12" s="2362"/>
      <c r="BD12" s="1082"/>
      <c r="BE12" s="2335"/>
      <c r="BF12" s="117"/>
      <c r="BG12" s="31" t="s">
        <v>691</v>
      </c>
      <c r="BH12" s="2191" t="s">
        <v>692</v>
      </c>
      <c r="BI12" s="2194"/>
      <c r="BJ12" s="2360"/>
      <c r="BK12" s="31"/>
      <c r="BL12" s="311"/>
      <c r="BM12" s="2216"/>
      <c r="BN12" s="31" t="s">
        <v>693</v>
      </c>
      <c r="BO12" s="2191"/>
      <c r="BP12" s="2191"/>
      <c r="BQ12" s="2191"/>
      <c r="BR12" s="2231"/>
      <c r="BS12" s="2231"/>
      <c r="BT12" s="2231"/>
      <c r="BU12" s="2231"/>
      <c r="BV12" s="2231"/>
      <c r="BW12" s="2256"/>
      <c r="BX12" s="2399"/>
      <c r="BY12" s="2256"/>
      <c r="BZ12" s="1071"/>
      <c r="CA12" s="2257"/>
      <c r="CB12" s="2392"/>
    </row>
    <row r="13" spans="1:80" ht="17.25" customHeight="1">
      <c r="A13" s="2194"/>
      <c r="B13" s="2227"/>
      <c r="C13" s="2191"/>
      <c r="D13" s="2319"/>
      <c r="E13" s="2342"/>
      <c r="F13" s="2191"/>
      <c r="G13" s="326">
        <v>1</v>
      </c>
      <c r="H13" s="2353" t="s">
        <v>694</v>
      </c>
      <c r="I13" s="2174"/>
      <c r="J13" s="2293"/>
      <c r="K13" s="2295"/>
      <c r="L13" s="1410">
        <v>4</v>
      </c>
      <c r="M13" s="29" t="s">
        <v>695</v>
      </c>
      <c r="N13" s="153" t="s">
        <v>696</v>
      </c>
      <c r="O13" s="28" t="s">
        <v>501</v>
      </c>
      <c r="P13" s="2194"/>
      <c r="Q13" s="2272"/>
      <c r="R13" s="2272"/>
      <c r="S13" s="2272"/>
      <c r="T13" s="2272"/>
      <c r="U13" s="2272"/>
      <c r="V13" s="2272"/>
      <c r="W13" s="2272"/>
      <c r="X13" s="2272"/>
      <c r="Y13" s="2272"/>
      <c r="Z13" s="2378"/>
      <c r="AA13" s="2380"/>
      <c r="AB13" s="424" t="s">
        <v>697</v>
      </c>
      <c r="AC13" s="423"/>
      <c r="AD13" s="2199"/>
      <c r="AE13" s="2174"/>
      <c r="AF13" s="2174"/>
      <c r="AG13" s="2174"/>
      <c r="AH13" s="2174"/>
      <c r="AI13" s="2174"/>
      <c r="AJ13" s="2199"/>
      <c r="AK13" s="2199"/>
      <c r="AL13" s="2199"/>
      <c r="AM13" s="2194"/>
      <c r="AN13" s="2192"/>
      <c r="AO13" s="192"/>
      <c r="AP13" s="2191"/>
      <c r="AQ13" s="192"/>
      <c r="AR13" s="1101" t="s">
        <v>698</v>
      </c>
      <c r="AS13" s="192"/>
      <c r="AT13" s="1092" t="s">
        <v>106</v>
      </c>
      <c r="AU13" s="1093"/>
      <c r="AV13" s="2174"/>
      <c r="AW13" s="192"/>
      <c r="AX13" s="2174"/>
      <c r="AY13" s="2191"/>
      <c r="AZ13" s="153"/>
      <c r="BA13" s="419"/>
      <c r="BB13" s="311"/>
      <c r="BC13" s="2362"/>
      <c r="BD13" s="1082"/>
      <c r="BE13" s="2335"/>
      <c r="BF13" s="117"/>
      <c r="BG13" s="117" t="s">
        <v>699</v>
      </c>
      <c r="BH13" s="2191"/>
      <c r="BI13" s="2194"/>
      <c r="BJ13" s="2360"/>
      <c r="BK13" s="2191" t="s">
        <v>700</v>
      </c>
      <c r="BL13" s="311"/>
      <c r="BM13" s="2216"/>
      <c r="BN13" s="28" t="s">
        <v>701</v>
      </c>
      <c r="BO13" s="2191"/>
      <c r="BP13" s="2191"/>
      <c r="BQ13" s="2191"/>
      <c r="BR13" s="2231"/>
      <c r="BS13" s="2231"/>
      <c r="BT13" s="2231"/>
      <c r="BU13" s="2231"/>
      <c r="BV13" s="2231"/>
      <c r="BW13" s="2256"/>
      <c r="BX13" s="2399"/>
      <c r="BY13" s="2256"/>
      <c r="BZ13" s="1071"/>
      <c r="CA13" s="2257"/>
      <c r="CB13" s="2392"/>
    </row>
    <row r="14" spans="1:80" ht="15.75" customHeight="1">
      <c r="A14" s="2194"/>
      <c r="B14" s="2227"/>
      <c r="C14" s="2191"/>
      <c r="D14" s="2319"/>
      <c r="E14" s="2342"/>
      <c r="F14" s="2191"/>
      <c r="G14" s="326"/>
      <c r="H14" s="2353"/>
      <c r="I14" s="2174"/>
      <c r="J14" s="2293"/>
      <c r="K14" s="2295"/>
      <c r="L14" s="1410">
        <v>5</v>
      </c>
      <c r="M14" s="419" t="s">
        <v>702</v>
      </c>
      <c r="N14" s="153" t="s">
        <v>703</v>
      </c>
      <c r="O14" s="28" t="s">
        <v>517</v>
      </c>
      <c r="P14" s="2194"/>
      <c r="Q14" s="2272"/>
      <c r="R14" s="2272"/>
      <c r="S14" s="2272"/>
      <c r="T14" s="2272"/>
      <c r="U14" s="2272"/>
      <c r="V14" s="2272"/>
      <c r="W14" s="2272"/>
      <c r="X14" s="2272"/>
      <c r="Y14" s="2272"/>
      <c r="Z14" s="2378"/>
      <c r="AA14" s="2380"/>
      <c r="AB14" s="424" t="s">
        <v>704</v>
      </c>
      <c r="AC14" s="423"/>
      <c r="AD14" s="2199"/>
      <c r="AE14" s="2174"/>
      <c r="AF14" s="2174"/>
      <c r="AG14" s="2174"/>
      <c r="AH14" s="2174"/>
      <c r="AI14" s="2174"/>
      <c r="AJ14" s="2199"/>
      <c r="AK14" s="2199"/>
      <c r="AL14" s="2199"/>
      <c r="AM14" s="2194"/>
      <c r="AN14" s="2192"/>
      <c r="AO14" s="192"/>
      <c r="AP14" s="2191"/>
      <c r="AQ14" s="192"/>
      <c r="AR14" s="28" t="s">
        <v>705</v>
      </c>
      <c r="AS14" s="192"/>
      <c r="AT14" s="1092" t="str">
        <f>CONCATENATE("2 Não ►(",TEXT(AV4,"0,00"),")")</f>
        <v>2 Não ►(3,25)</v>
      </c>
      <c r="AU14" s="799"/>
      <c r="AV14" s="2174"/>
      <c r="AW14" s="192"/>
      <c r="AX14" s="2174"/>
      <c r="AY14" s="2191"/>
      <c r="AZ14" s="153"/>
      <c r="BA14" s="419"/>
      <c r="BB14" s="311"/>
      <c r="BC14" s="2362"/>
      <c r="BD14" s="1082"/>
      <c r="BE14" s="118"/>
      <c r="BF14" s="117"/>
      <c r="BG14" s="117"/>
      <c r="BH14" s="117"/>
      <c r="BI14" s="2194"/>
      <c r="BJ14" s="195"/>
      <c r="BK14" s="2191"/>
      <c r="BL14" s="311"/>
      <c r="BM14" s="2216"/>
      <c r="BN14" s="28"/>
      <c r="BO14" s="117"/>
      <c r="BP14" s="117"/>
      <c r="BQ14" s="117"/>
      <c r="BR14" s="806"/>
      <c r="BS14" s="806"/>
      <c r="BT14" s="806"/>
      <c r="BU14" s="2231"/>
      <c r="BV14" s="2393"/>
      <c r="BW14" s="2394" t="str">
        <f>CONCATENATE("1 Sim")</f>
        <v>1 Sim</v>
      </c>
      <c r="BX14" s="1072"/>
      <c r="BY14" s="2394"/>
      <c r="BZ14" s="1073"/>
      <c r="CA14" s="2257"/>
      <c r="CB14" s="2396" t="s">
        <v>706</v>
      </c>
    </row>
    <row r="15" spans="1:80" ht="21.75" customHeight="1">
      <c r="A15" s="2194"/>
      <c r="B15" s="2227"/>
      <c r="C15" s="2191"/>
      <c r="D15" s="2319"/>
      <c r="E15" s="2342"/>
      <c r="F15" s="2191"/>
      <c r="G15" s="326"/>
      <c r="H15" s="419"/>
      <c r="I15" s="2174"/>
      <c r="J15" s="2293"/>
      <c r="K15" s="2295"/>
      <c r="L15" s="1411">
        <v>6</v>
      </c>
      <c r="M15" s="866" t="s">
        <v>707</v>
      </c>
      <c r="N15" s="88" t="s">
        <v>708</v>
      </c>
      <c r="O15" s="28" t="s">
        <v>547</v>
      </c>
      <c r="P15" s="2194"/>
      <c r="Q15" s="2272"/>
      <c r="R15" s="2272"/>
      <c r="S15" s="2272"/>
      <c r="T15" s="2272"/>
      <c r="U15" s="2272"/>
      <c r="V15" s="2272"/>
      <c r="W15" s="2272"/>
      <c r="X15" s="2272"/>
      <c r="Y15" s="2272"/>
      <c r="Z15" s="2378"/>
      <c r="AA15" s="2380"/>
      <c r="AB15" s="424" t="s">
        <v>709</v>
      </c>
      <c r="AC15" s="423"/>
      <c r="AD15" s="2199"/>
      <c r="AE15" s="2174"/>
      <c r="AF15" s="2174"/>
      <c r="AG15" s="2174"/>
      <c r="AH15" s="2174"/>
      <c r="AI15" s="2174"/>
      <c r="AJ15" s="2199"/>
      <c r="AK15" s="2199"/>
      <c r="AL15" s="2199"/>
      <c r="AM15" s="2194"/>
      <c r="AN15" s="2192"/>
      <c r="AO15" s="192"/>
      <c r="AP15" s="2191"/>
      <c r="AQ15" s="192"/>
      <c r="AR15" s="28" t="s">
        <v>710</v>
      </c>
      <c r="AS15" s="192"/>
      <c r="AT15" s="1094"/>
      <c r="AU15" s="799"/>
      <c r="AV15" s="2174"/>
      <c r="AW15" s="192"/>
      <c r="AX15" s="2174"/>
      <c r="AY15" s="2191"/>
      <c r="AZ15" s="153"/>
      <c r="BA15" s="419"/>
      <c r="BB15" s="311"/>
      <c r="BC15" s="2362"/>
      <c r="BD15" s="2363" t="s">
        <v>711</v>
      </c>
      <c r="BE15" s="118"/>
      <c r="BF15" s="117"/>
      <c r="BG15" s="117"/>
      <c r="BH15" s="117"/>
      <c r="BI15" s="2194"/>
      <c r="BJ15" s="195"/>
      <c r="BK15" s="2191"/>
      <c r="BL15" s="311"/>
      <c r="BM15" s="2216"/>
      <c r="BN15" s="28"/>
      <c r="BO15" s="117"/>
      <c r="BP15" s="117"/>
      <c r="BQ15" s="117"/>
      <c r="BR15" s="806"/>
      <c r="BS15" s="806"/>
      <c r="BT15" s="806"/>
      <c r="BU15" s="2367"/>
      <c r="BV15" s="2365"/>
      <c r="BW15" s="2395"/>
      <c r="BX15" s="1074"/>
      <c r="BY15" s="2395"/>
      <c r="BZ15" s="1075"/>
      <c r="CA15" s="2257"/>
      <c r="CB15" s="2258"/>
    </row>
    <row r="16" spans="1:80" ht="19.5" customHeight="1">
      <c r="A16" s="2194"/>
      <c r="B16" s="2227"/>
      <c r="C16" s="2191"/>
      <c r="D16" s="2319"/>
      <c r="E16" s="2342"/>
      <c r="F16" s="2191"/>
      <c r="G16" s="870">
        <v>2</v>
      </c>
      <c r="H16" s="2342" t="s">
        <v>712</v>
      </c>
      <c r="I16" s="2174"/>
      <c r="J16" s="2293"/>
      <c r="K16" s="2295"/>
      <c r="L16" s="1410"/>
      <c r="M16" s="29"/>
      <c r="N16" s="318" t="s">
        <v>713</v>
      </c>
      <c r="O16" s="177" t="s">
        <v>567</v>
      </c>
      <c r="P16" s="2194"/>
      <c r="Q16" s="2272"/>
      <c r="R16" s="2272"/>
      <c r="S16" s="2272"/>
      <c r="T16" s="2272"/>
      <c r="U16" s="2272"/>
      <c r="V16" s="2272"/>
      <c r="W16" s="2272"/>
      <c r="X16" s="2272"/>
      <c r="Y16" s="2272"/>
      <c r="Z16" s="2378"/>
      <c r="AA16" s="2380"/>
      <c r="AB16" s="424" t="s">
        <v>714</v>
      </c>
      <c r="AC16" s="423"/>
      <c r="AD16" s="2199"/>
      <c r="AE16" s="2174"/>
      <c r="AF16" s="2174"/>
      <c r="AG16" s="2174"/>
      <c r="AH16" s="2174"/>
      <c r="AI16" s="2174"/>
      <c r="AJ16" s="2199"/>
      <c r="AK16" s="2199"/>
      <c r="AL16" s="2199"/>
      <c r="AM16" s="2194"/>
      <c r="AN16" s="2192"/>
      <c r="AO16" s="192"/>
      <c r="AP16" s="2191"/>
      <c r="AQ16" s="192"/>
      <c r="AR16" s="28" t="s">
        <v>715</v>
      </c>
      <c r="AS16" s="192"/>
      <c r="AT16" s="1094"/>
      <c r="AU16" s="799"/>
      <c r="AV16" s="2174"/>
      <c r="AW16" s="192"/>
      <c r="AX16" s="2174"/>
      <c r="AY16" s="2191"/>
      <c r="AZ16" s="153"/>
      <c r="BA16" s="419"/>
      <c r="BB16" s="311"/>
      <c r="BC16" s="1083"/>
      <c r="BD16" s="2363"/>
      <c r="BE16" s="118"/>
      <c r="BF16" s="117"/>
      <c r="BG16" s="117"/>
      <c r="BH16" s="117"/>
      <c r="BI16" s="2194"/>
      <c r="BJ16" s="195"/>
      <c r="BK16" s="2386" t="s">
        <v>716</v>
      </c>
      <c r="BL16" s="311"/>
      <c r="BM16" s="2216"/>
      <c r="BN16" s="28"/>
      <c r="BO16" s="117"/>
      <c r="BP16" s="117"/>
      <c r="BQ16" s="117"/>
      <c r="BR16" s="806"/>
      <c r="BS16" s="806"/>
      <c r="BT16" s="806"/>
      <c r="BU16" s="2393" t="str">
        <f>CONCATENATE("1 Sim")</f>
        <v>1 Sim</v>
      </c>
      <c r="BV16" s="2365"/>
      <c r="BW16" s="2256" t="s">
        <v>717</v>
      </c>
      <c r="BX16" s="1076"/>
      <c r="BY16" s="2395"/>
      <c r="BZ16" s="1075"/>
      <c r="CA16" s="2257"/>
      <c r="CB16" s="2258"/>
    </row>
    <row r="17" spans="1:80" ht="18" customHeight="1">
      <c r="A17" s="2194"/>
      <c r="B17" s="2227"/>
      <c r="C17" s="2191"/>
      <c r="D17" s="2319"/>
      <c r="E17" s="2342"/>
      <c r="F17" s="2191"/>
      <c r="G17" s="326"/>
      <c r="H17" s="2342"/>
      <c r="I17" s="2174"/>
      <c r="J17" s="2293"/>
      <c r="K17" s="2295"/>
      <c r="L17" s="1410"/>
      <c r="M17" s="1101" t="s">
        <v>718</v>
      </c>
      <c r="N17" s="31" t="s">
        <v>719</v>
      </c>
      <c r="O17" s="28"/>
      <c r="P17" s="2194"/>
      <c r="Q17" s="2272"/>
      <c r="R17" s="2272"/>
      <c r="S17" s="2272"/>
      <c r="T17" s="2272"/>
      <c r="U17" s="2272"/>
      <c r="V17" s="2272"/>
      <c r="W17" s="2272"/>
      <c r="X17" s="2272"/>
      <c r="Y17" s="2272"/>
      <c r="Z17" s="2378"/>
      <c r="AA17" s="2380"/>
      <c r="AB17" s="424"/>
      <c r="AC17" s="423"/>
      <c r="AD17" s="2199"/>
      <c r="AE17" s="2174"/>
      <c r="AF17" s="2174"/>
      <c r="AG17" s="2174"/>
      <c r="AH17" s="2174"/>
      <c r="AI17" s="2174"/>
      <c r="AJ17" s="2199"/>
      <c r="AK17" s="2199"/>
      <c r="AL17" s="2199"/>
      <c r="AM17" s="2194"/>
      <c r="AN17" s="2192"/>
      <c r="AO17" s="192"/>
      <c r="AP17" s="2191"/>
      <c r="AQ17" s="192"/>
      <c r="AR17" s="28" t="s">
        <v>720</v>
      </c>
      <c r="AS17" s="192"/>
      <c r="AT17" s="1094"/>
      <c r="AU17" s="799"/>
      <c r="AV17" s="2174"/>
      <c r="AW17" s="192"/>
      <c r="AX17" s="2174"/>
      <c r="AY17" s="2191"/>
      <c r="AZ17" s="153"/>
      <c r="BA17" s="419"/>
      <c r="BB17" s="311"/>
      <c r="BC17" s="1083"/>
      <c r="BD17" s="2363"/>
      <c r="BE17" s="118"/>
      <c r="BF17" s="117"/>
      <c r="BG17" s="117"/>
      <c r="BH17" s="117"/>
      <c r="BI17" s="2194"/>
      <c r="BJ17" s="195"/>
      <c r="BK17" s="2386"/>
      <c r="BL17" s="311"/>
      <c r="BM17" s="44"/>
      <c r="BN17" s="28"/>
      <c r="BO17" s="117"/>
      <c r="BP17" s="117"/>
      <c r="BQ17" s="117"/>
      <c r="BR17" s="806"/>
      <c r="BS17" s="806"/>
      <c r="BT17" s="806"/>
      <c r="BU17" s="2365"/>
      <c r="BV17" s="2365"/>
      <c r="BW17" s="2256"/>
      <c r="BX17" s="1076"/>
      <c r="BY17" s="2395"/>
      <c r="BZ17" s="1075"/>
      <c r="CA17" s="2257"/>
      <c r="CB17" s="2258"/>
    </row>
    <row r="18" spans="1:80" ht="19.5" customHeight="1">
      <c r="A18" s="2194"/>
      <c r="B18" s="2227"/>
      <c r="C18" s="2191"/>
      <c r="D18" s="2319"/>
      <c r="E18" s="2342"/>
      <c r="F18" s="2191"/>
      <c r="G18" s="326"/>
      <c r="H18" s="419"/>
      <c r="I18" s="2174"/>
      <c r="J18" s="2293"/>
      <c r="K18" s="2295"/>
      <c r="L18" s="1410">
        <v>7</v>
      </c>
      <c r="M18" s="864" t="s">
        <v>721</v>
      </c>
      <c r="N18" s="310" t="s">
        <v>722</v>
      </c>
      <c r="O18" s="28"/>
      <c r="P18" s="2194"/>
      <c r="Q18" s="2272"/>
      <c r="R18" s="2272"/>
      <c r="S18" s="2272"/>
      <c r="T18" s="2272"/>
      <c r="U18" s="2272"/>
      <c r="V18" s="2272"/>
      <c r="W18" s="2272"/>
      <c r="X18" s="2272"/>
      <c r="Y18" s="2272"/>
      <c r="Z18" s="2378"/>
      <c r="AA18" s="2380"/>
      <c r="AB18" s="424"/>
      <c r="AC18" s="423" t="str">
        <f>CONCATENATE("►► (",AE4,")")</f>
        <v>►► (3,13)</v>
      </c>
      <c r="AD18" s="2199"/>
      <c r="AE18" s="2174"/>
      <c r="AF18" s="2174"/>
      <c r="AG18" s="2174"/>
      <c r="AH18" s="2174"/>
      <c r="AI18" s="2174"/>
      <c r="AJ18" s="1100"/>
      <c r="AK18" s="1100"/>
      <c r="AL18" s="1100"/>
      <c r="AM18" s="2194"/>
      <c r="AN18" s="2192"/>
      <c r="AO18" s="192"/>
      <c r="AP18" s="2191"/>
      <c r="AQ18" s="192"/>
      <c r="AR18" s="28" t="s">
        <v>723</v>
      </c>
      <c r="AS18" s="192"/>
      <c r="AT18" s="1052"/>
      <c r="AU18" s="1095"/>
      <c r="AV18" s="2174"/>
      <c r="AW18" s="192"/>
      <c r="AX18" s="2174"/>
      <c r="AY18" s="2191"/>
      <c r="AZ18" s="153"/>
      <c r="BA18" s="419"/>
      <c r="BB18" s="311"/>
      <c r="BC18" s="1084" t="s">
        <v>106</v>
      </c>
      <c r="BD18" s="2363"/>
      <c r="BE18" s="118"/>
      <c r="BF18" s="117"/>
      <c r="BG18" s="117"/>
      <c r="BH18" s="117"/>
      <c r="BI18" s="2194"/>
      <c r="BJ18" s="195"/>
      <c r="BK18" s="2386" t="s">
        <v>724</v>
      </c>
      <c r="BL18" s="311"/>
      <c r="BM18" s="44"/>
      <c r="BN18" s="28"/>
      <c r="BO18" s="117"/>
      <c r="BP18" s="117"/>
      <c r="BQ18" s="117"/>
      <c r="BR18" s="806"/>
      <c r="BS18" s="806"/>
      <c r="BT18" s="806"/>
      <c r="BU18" s="2365" t="str">
        <f>CONCATENATE("2 Não ►(",TEXT(BW4,"0,00"),")")</f>
        <v>2 Não ►(3,49)</v>
      </c>
      <c r="BV18" s="2365"/>
      <c r="BW18" s="2256"/>
      <c r="BX18" s="1076"/>
      <c r="BY18" s="2395"/>
      <c r="BZ18" s="1075"/>
      <c r="CA18" s="2257"/>
      <c r="CB18" s="2258"/>
    </row>
    <row r="19" spans="1:80" ht="12" customHeight="1">
      <c r="A19" s="2194"/>
      <c r="B19" s="2227"/>
      <c r="C19" s="2191"/>
      <c r="D19" s="2319"/>
      <c r="E19" s="2342"/>
      <c r="F19" s="2191"/>
      <c r="G19" s="870">
        <v>3</v>
      </c>
      <c r="H19" s="2342" t="s">
        <v>725</v>
      </c>
      <c r="I19" s="2174"/>
      <c r="J19" s="2293"/>
      <c r="K19" s="2295"/>
      <c r="M19" s="2323" t="s">
        <v>726</v>
      </c>
      <c r="N19" s="310" t="s">
        <v>727</v>
      </c>
      <c r="O19" s="28"/>
      <c r="P19" s="2194"/>
      <c r="Q19" s="2272"/>
      <c r="R19" s="2272"/>
      <c r="S19" s="2272"/>
      <c r="T19" s="2272"/>
      <c r="U19" s="2272"/>
      <c r="V19" s="2272"/>
      <c r="W19" s="2272"/>
      <c r="X19" s="2272"/>
      <c r="Y19" s="2272"/>
      <c r="Z19" s="2378"/>
      <c r="AA19" s="2380"/>
      <c r="AB19" s="424"/>
      <c r="AC19" s="423"/>
      <c r="AD19" s="2199"/>
      <c r="AE19" s="2174"/>
      <c r="AF19" s="2174"/>
      <c r="AG19" s="2174"/>
      <c r="AH19" s="2174"/>
      <c r="AI19" s="2174"/>
      <c r="AJ19" s="1100"/>
      <c r="AK19" s="1100"/>
      <c r="AL19" s="1100"/>
      <c r="AM19" s="2194"/>
      <c r="AN19" s="2192"/>
      <c r="AO19" s="192"/>
      <c r="AP19" s="2191"/>
      <c r="AQ19" s="192"/>
      <c r="AR19" s="28" t="s">
        <v>728</v>
      </c>
      <c r="AS19" s="192"/>
      <c r="AT19" s="1052"/>
      <c r="AU19" s="1095"/>
      <c r="AV19" s="2174"/>
      <c r="AW19" s="192"/>
      <c r="AX19" s="2174"/>
      <c r="AY19" s="2191"/>
      <c r="AZ19" s="153"/>
      <c r="BA19" s="419"/>
      <c r="BB19" s="311"/>
      <c r="BC19" s="2364" t="str">
        <f>CONCATENATE("2 Não ►(",TEXT(BE4,"0,00"),")")</f>
        <v>2 Não ►(3,32)</v>
      </c>
      <c r="BD19" s="45"/>
      <c r="BE19" s="118"/>
      <c r="BF19" s="117"/>
      <c r="BG19" s="117"/>
      <c r="BH19" s="117"/>
      <c r="BI19" s="2194"/>
      <c r="BJ19" s="195"/>
      <c r="BK19" s="2386"/>
      <c r="BL19" s="311"/>
      <c r="BM19" s="2191" t="s">
        <v>729</v>
      </c>
      <c r="BN19" s="28"/>
      <c r="BO19" s="117"/>
      <c r="BP19" s="117"/>
      <c r="BQ19" s="117"/>
      <c r="BR19" s="806"/>
      <c r="BS19" s="806"/>
      <c r="BT19" s="806"/>
      <c r="BU19" s="2365"/>
      <c r="BV19" s="2365"/>
      <c r="BW19" s="2256"/>
      <c r="BX19" s="1076"/>
      <c r="BY19" s="2395"/>
      <c r="BZ19" s="1075"/>
      <c r="CA19" s="2257"/>
      <c r="CB19" s="2258"/>
    </row>
    <row r="20" spans="1:80" ht="15.75" customHeight="1">
      <c r="A20" s="2194"/>
      <c r="B20" s="2227"/>
      <c r="C20" s="2191"/>
      <c r="D20" s="2319"/>
      <c r="E20" s="2342"/>
      <c r="F20" s="2191"/>
      <c r="G20" s="326"/>
      <c r="H20" s="2342"/>
      <c r="I20" s="2174"/>
      <c r="J20" s="2293"/>
      <c r="K20" s="2295"/>
      <c r="L20" s="171">
        <v>8</v>
      </c>
      <c r="M20" s="2323"/>
      <c r="N20" s="313" t="s">
        <v>730</v>
      </c>
      <c r="O20" s="28"/>
      <c r="P20" s="2194"/>
      <c r="Q20" s="2272"/>
      <c r="R20" s="2272"/>
      <c r="S20" s="2272"/>
      <c r="T20" s="2272"/>
      <c r="U20" s="2272"/>
      <c r="V20" s="2272"/>
      <c r="W20" s="2272"/>
      <c r="X20" s="2272"/>
      <c r="Y20" s="2272"/>
      <c r="Z20" s="2378"/>
      <c r="AA20" s="2380"/>
      <c r="AB20" s="424"/>
      <c r="AC20" s="423"/>
      <c r="AD20" s="2199"/>
      <c r="AE20" s="2174"/>
      <c r="AF20" s="2174"/>
      <c r="AG20" s="2174"/>
      <c r="AH20" s="2174"/>
      <c r="AI20" s="2174"/>
      <c r="AJ20" s="1100"/>
      <c r="AK20" s="1100"/>
      <c r="AL20" s="1100"/>
      <c r="AM20" s="2194"/>
      <c r="AN20" s="2192"/>
      <c r="AO20" s="192"/>
      <c r="AP20" s="2191"/>
      <c r="AQ20" s="192"/>
      <c r="AS20" s="192"/>
      <c r="AT20" s="1052"/>
      <c r="AU20" s="1095"/>
      <c r="AV20" s="2174"/>
      <c r="AW20" s="192"/>
      <c r="AX20" s="2174"/>
      <c r="AY20" s="2191"/>
      <c r="AZ20" s="153"/>
      <c r="BA20" s="419"/>
      <c r="BB20" s="311"/>
      <c r="BC20" s="2364"/>
      <c r="BD20" s="45"/>
      <c r="BE20" s="118"/>
      <c r="BF20" s="117"/>
      <c r="BG20" s="117"/>
      <c r="BH20" s="117"/>
      <c r="BI20" s="2194"/>
      <c r="BJ20" s="195"/>
      <c r="BK20" s="98"/>
      <c r="BL20" s="311"/>
      <c r="BM20" s="2191"/>
      <c r="BN20" s="28"/>
      <c r="BO20" s="117"/>
      <c r="BP20" s="117"/>
      <c r="BQ20" s="117"/>
      <c r="BR20" s="806"/>
      <c r="BS20" s="806"/>
      <c r="BT20" s="806"/>
      <c r="BU20" s="2365"/>
      <c r="BV20" s="2365"/>
      <c r="BW20" s="2398"/>
      <c r="BX20" s="1074"/>
      <c r="BY20" s="2395"/>
      <c r="BZ20" s="1075"/>
      <c r="CB20" s="2258"/>
    </row>
    <row r="21" spans="1:80" ht="12" customHeight="1">
      <c r="A21" s="2194"/>
      <c r="B21" s="2227"/>
      <c r="C21" s="2191"/>
      <c r="D21" s="2319"/>
      <c r="E21" s="2342"/>
      <c r="F21" s="2191"/>
      <c r="G21" s="326"/>
      <c r="H21" s="419"/>
      <c r="I21" s="2174"/>
      <c r="J21" s="2293"/>
      <c r="K21" s="2295"/>
      <c r="L21" s="1410">
        <v>9</v>
      </c>
      <c r="M21" s="2323" t="s">
        <v>731</v>
      </c>
      <c r="N21" s="313" t="s">
        <v>732</v>
      </c>
      <c r="O21" s="28"/>
      <c r="P21" s="2194"/>
      <c r="Q21" s="2272"/>
      <c r="R21" s="2272"/>
      <c r="S21" s="2272"/>
      <c r="T21" s="2272"/>
      <c r="U21" s="2272"/>
      <c r="V21" s="2272"/>
      <c r="W21" s="2272"/>
      <c r="X21" s="2272"/>
      <c r="Y21" s="2272"/>
      <c r="Z21" s="2378"/>
      <c r="AA21" s="2380"/>
      <c r="AB21" s="424"/>
      <c r="AC21" s="423"/>
      <c r="AD21" s="2199"/>
      <c r="AE21" s="2174"/>
      <c r="AF21" s="2174"/>
      <c r="AG21" s="2174"/>
      <c r="AH21" s="2174"/>
      <c r="AI21" s="2174"/>
      <c r="AJ21" s="1100"/>
      <c r="AK21" s="1100"/>
      <c r="AL21" s="1100"/>
      <c r="AM21" s="2194"/>
      <c r="AN21" s="2192"/>
      <c r="AO21" s="192"/>
      <c r="AP21" s="2191"/>
      <c r="AQ21" s="192"/>
      <c r="AR21" s="1101" t="s">
        <v>718</v>
      </c>
      <c r="AS21" s="192"/>
      <c r="AT21" s="1052"/>
      <c r="AU21" s="1095"/>
      <c r="AV21" s="2174"/>
      <c r="AW21" s="192"/>
      <c r="AX21" s="2174"/>
      <c r="AY21" s="2191"/>
      <c r="AZ21" s="153"/>
      <c r="BA21" s="419"/>
      <c r="BB21" s="311"/>
      <c r="BC21" s="1085"/>
      <c r="BD21" s="43"/>
      <c r="BE21" s="118"/>
      <c r="BF21" s="117"/>
      <c r="BG21" s="117"/>
      <c r="BH21" s="117"/>
      <c r="BI21" s="2194"/>
      <c r="BJ21" s="195"/>
      <c r="BK21" s="2191" t="s">
        <v>733</v>
      </c>
      <c r="BL21" s="311"/>
      <c r="BM21" s="2191"/>
      <c r="BN21" s="28"/>
      <c r="BO21" s="117"/>
      <c r="BP21" s="117"/>
      <c r="BQ21" s="117"/>
      <c r="BR21" s="806"/>
      <c r="BS21" s="806"/>
      <c r="BT21" s="806"/>
      <c r="BU21" s="2365"/>
      <c r="BV21" s="2365"/>
      <c r="BW21" s="2398"/>
      <c r="BX21" s="1074"/>
      <c r="BY21" s="2395"/>
      <c r="BZ21" s="1075"/>
      <c r="CA21" s="2400" t="str">
        <f>CONCATENATE("1 Sim ►", "Criança seguinte")</f>
        <v>1 Sim ►Criança seguinte</v>
      </c>
      <c r="CB21" s="2258"/>
    </row>
    <row r="22" spans="1:80" ht="12" customHeight="1">
      <c r="A22" s="2194"/>
      <c r="B22" s="2227"/>
      <c r="C22" s="2191"/>
      <c r="D22" s="2319"/>
      <c r="E22" s="2342"/>
      <c r="F22" s="2191"/>
      <c r="G22" s="326"/>
      <c r="H22" s="419"/>
      <c r="I22" s="2174"/>
      <c r="J22" s="2293"/>
      <c r="K22" s="2295"/>
      <c r="M22" s="2323"/>
      <c r="N22" s="153"/>
      <c r="O22" s="28"/>
      <c r="P22" s="2194"/>
      <c r="Q22" s="2272"/>
      <c r="R22" s="2272"/>
      <c r="S22" s="2272"/>
      <c r="T22" s="2272"/>
      <c r="U22" s="2272"/>
      <c r="V22" s="2272"/>
      <c r="W22" s="2272"/>
      <c r="X22" s="2272"/>
      <c r="Y22" s="2272"/>
      <c r="Z22" s="2378"/>
      <c r="AA22" s="2380"/>
      <c r="AB22" s="424"/>
      <c r="AD22" s="2199"/>
      <c r="AE22" s="2174"/>
      <c r="AF22" s="2174"/>
      <c r="AG22" s="2174"/>
      <c r="AH22" s="2174"/>
      <c r="AI22" s="2174"/>
      <c r="AJ22" s="1100"/>
      <c r="AK22" s="1100"/>
      <c r="AL22" s="1100"/>
      <c r="AM22" s="2194"/>
      <c r="AN22" s="2192"/>
      <c r="AO22" s="192"/>
      <c r="AP22" s="2191"/>
      <c r="AQ22" s="192"/>
      <c r="AS22" s="192"/>
      <c r="AT22" s="1052"/>
      <c r="AU22" s="1095"/>
      <c r="AV22" s="2174"/>
      <c r="AW22" s="192"/>
      <c r="AX22" s="2174"/>
      <c r="AY22" s="2191"/>
      <c r="AZ22" s="153"/>
      <c r="BA22" s="419"/>
      <c r="BB22" s="311"/>
      <c r="BC22" s="1085"/>
      <c r="BD22" s="43"/>
      <c r="BE22" s="118"/>
      <c r="BF22" s="117"/>
      <c r="BG22" s="117"/>
      <c r="BH22" s="117"/>
      <c r="BI22" s="2194"/>
      <c r="BJ22" s="195"/>
      <c r="BK22" s="2191"/>
      <c r="BL22" s="311"/>
      <c r="BM22" s="2191"/>
      <c r="BN22" s="28"/>
      <c r="BO22" s="117"/>
      <c r="BP22" s="117"/>
      <c r="BQ22" s="117"/>
      <c r="BR22" s="806"/>
      <c r="BS22" s="806"/>
      <c r="BT22" s="806"/>
      <c r="BU22" s="677"/>
      <c r="BV22" s="677"/>
      <c r="BW22" s="1075"/>
      <c r="BX22" s="1074"/>
      <c r="BY22" s="1077"/>
      <c r="BZ22" s="1075"/>
      <c r="CA22" s="2257"/>
      <c r="CB22" s="2258"/>
    </row>
    <row r="23" spans="1:80" ht="15.75" customHeight="1">
      <c r="A23" s="2194"/>
      <c r="B23" s="2227"/>
      <c r="C23" s="2191"/>
      <c r="D23" s="2319"/>
      <c r="E23" s="2342"/>
      <c r="F23" s="2191"/>
      <c r="G23" s="326"/>
      <c r="H23" s="419"/>
      <c r="I23" s="2174"/>
      <c r="J23" s="2293"/>
      <c r="K23" s="2295"/>
      <c r="L23" s="1410">
        <v>10</v>
      </c>
      <c r="M23" s="269" t="s">
        <v>734</v>
      </c>
      <c r="N23" s="153"/>
      <c r="O23" s="29"/>
      <c r="P23" s="2194"/>
      <c r="Q23" s="2272"/>
      <c r="R23" s="2272"/>
      <c r="S23" s="2272"/>
      <c r="T23" s="2272"/>
      <c r="U23" s="2272"/>
      <c r="V23" s="2272"/>
      <c r="W23" s="2272"/>
      <c r="X23" s="2272"/>
      <c r="Y23" s="2272"/>
      <c r="Z23" s="2378"/>
      <c r="AA23" s="2380"/>
      <c r="AB23" s="424"/>
      <c r="AC23" s="423"/>
      <c r="AD23" s="2199"/>
      <c r="AE23" s="2174"/>
      <c r="AF23" s="2174"/>
      <c r="AG23" s="2174"/>
      <c r="AH23" s="2174"/>
      <c r="AI23" s="2174"/>
      <c r="AJ23" s="1100"/>
      <c r="AK23" s="1100"/>
      <c r="AL23" s="1100"/>
      <c r="AM23" s="2194"/>
      <c r="AN23" s="2192"/>
      <c r="AO23" s="192"/>
      <c r="AP23" s="2191"/>
      <c r="AQ23" s="192"/>
      <c r="AR23" s="31" t="s">
        <v>735</v>
      </c>
      <c r="AS23" s="192"/>
      <c r="AT23" s="1052"/>
      <c r="AU23" s="1095"/>
      <c r="AV23" s="2174"/>
      <c r="AW23" s="192"/>
      <c r="AX23" s="2174"/>
      <c r="AY23" s="2191"/>
      <c r="AZ23" s="153"/>
      <c r="BA23" s="419"/>
      <c r="BB23" s="311"/>
      <c r="BC23" s="1085"/>
      <c r="BD23" s="43"/>
      <c r="BE23" s="118"/>
      <c r="BF23" s="117"/>
      <c r="BG23" s="117"/>
      <c r="BH23" s="117"/>
      <c r="BI23" s="2194"/>
      <c r="BJ23" s="195"/>
      <c r="BK23" s="117"/>
      <c r="BL23" s="311"/>
      <c r="BM23" s="2191"/>
      <c r="BN23" s="28"/>
      <c r="BO23" s="117"/>
      <c r="BP23" s="117"/>
      <c r="BQ23" s="117"/>
      <c r="BR23" s="806"/>
      <c r="BS23" s="806"/>
      <c r="BT23" s="806"/>
      <c r="BU23" s="677"/>
      <c r="BV23" s="677"/>
      <c r="BW23" s="677"/>
      <c r="BX23" s="1078"/>
      <c r="BY23" s="677"/>
      <c r="BZ23" s="1075"/>
      <c r="CA23" s="2257"/>
      <c r="CB23" s="2258"/>
    </row>
    <row r="24" spans="1:80" ht="33.75" customHeight="1">
      <c r="A24" s="2194"/>
      <c r="B24" s="2227"/>
      <c r="C24" s="2191"/>
      <c r="D24" s="2319"/>
      <c r="E24" s="2342"/>
      <c r="F24" s="2191"/>
      <c r="G24" s="326"/>
      <c r="H24" s="419"/>
      <c r="I24" s="2174"/>
      <c r="J24" s="2293"/>
      <c r="K24" s="2295"/>
      <c r="L24" s="1412">
        <v>11</v>
      </c>
      <c r="M24" s="311" t="s">
        <v>736</v>
      </c>
      <c r="N24" s="98"/>
      <c r="P24" s="2194"/>
      <c r="Q24" s="2272"/>
      <c r="R24" s="2272"/>
      <c r="S24" s="2272"/>
      <c r="T24" s="2272"/>
      <c r="U24" s="2272"/>
      <c r="V24" s="2272"/>
      <c r="W24" s="2272"/>
      <c r="X24" s="2272"/>
      <c r="Y24" s="2272"/>
      <c r="Z24" s="2378"/>
      <c r="AA24" s="2380"/>
      <c r="AD24" s="2199"/>
      <c r="AE24" s="2174"/>
      <c r="AF24" s="2174"/>
      <c r="AG24" s="2174"/>
      <c r="AH24" s="2174"/>
      <c r="AI24" s="2174"/>
      <c r="AJ24" s="1100"/>
      <c r="AK24" s="1100"/>
      <c r="AL24" s="1100"/>
      <c r="AM24" s="2194"/>
      <c r="AN24" s="2192"/>
      <c r="AO24" s="2356"/>
      <c r="AP24" s="2191"/>
      <c r="AQ24" s="2356"/>
      <c r="AR24" s="31" t="s">
        <v>737</v>
      </c>
      <c r="AS24" s="2356" t="s">
        <v>738</v>
      </c>
      <c r="AT24" s="1052"/>
      <c r="AU24" s="1095"/>
      <c r="AV24" s="2174"/>
      <c r="AW24" s="192"/>
      <c r="AX24" s="2174"/>
      <c r="AY24" s="2191"/>
      <c r="AZ24" s="153"/>
      <c r="BA24" s="419"/>
      <c r="BB24" s="311"/>
      <c r="BC24" s="1085"/>
      <c r="BD24" s="43"/>
      <c r="BE24" s="31" t="s">
        <v>106</v>
      </c>
      <c r="BF24" s="117"/>
      <c r="BG24" s="117" t="s">
        <v>739</v>
      </c>
      <c r="BH24" s="2191" t="s">
        <v>740</v>
      </c>
      <c r="BI24" s="2194"/>
      <c r="BJ24" s="425"/>
      <c r="BK24" s="2191" t="s">
        <v>741</v>
      </c>
      <c r="BL24" s="328" t="s">
        <v>106</v>
      </c>
      <c r="BM24" s="2191" t="s">
        <v>742</v>
      </c>
      <c r="BN24" s="31" t="s">
        <v>743</v>
      </c>
      <c r="BO24" s="2198" t="s">
        <v>744</v>
      </c>
      <c r="BP24" s="2198" t="s">
        <v>744</v>
      </c>
      <c r="BQ24" s="2198" t="s">
        <v>744</v>
      </c>
      <c r="BR24" s="2365" t="s">
        <v>744</v>
      </c>
      <c r="BS24" s="2365" t="s">
        <v>744</v>
      </c>
      <c r="BT24" s="2365" t="s">
        <v>744</v>
      </c>
      <c r="BU24" s="677"/>
      <c r="BV24" s="677"/>
      <c r="BW24" s="677"/>
      <c r="BX24" s="1078"/>
      <c r="BY24" s="677"/>
      <c r="BZ24" s="1075"/>
      <c r="CA24" s="1421" t="str">
        <f>CONCATENATE("2 Não ")</f>
        <v xml:space="preserve">2 Não </v>
      </c>
      <c r="CB24" s="2258"/>
    </row>
    <row r="25" spans="1:80" ht="13.5" customHeight="1">
      <c r="A25" s="2194"/>
      <c r="B25" s="2227"/>
      <c r="C25" s="2191"/>
      <c r="D25" s="2319"/>
      <c r="E25" s="2342"/>
      <c r="F25" s="28"/>
      <c r="I25" s="2174"/>
      <c r="J25" s="2293"/>
      <c r="K25" s="2295"/>
      <c r="N25" s="98"/>
      <c r="P25" s="2194"/>
      <c r="Q25" s="2272"/>
      <c r="R25" s="2272"/>
      <c r="S25" s="2272"/>
      <c r="T25" s="2272"/>
      <c r="U25" s="2272"/>
      <c r="V25" s="2272"/>
      <c r="W25" s="2272"/>
      <c r="X25" s="2272"/>
      <c r="Y25" s="2272"/>
      <c r="Z25" s="2378"/>
      <c r="AA25" s="2380"/>
      <c r="AD25" s="2199"/>
      <c r="AE25" s="2376" t="s">
        <v>745</v>
      </c>
      <c r="AF25" s="2376" t="s">
        <v>745</v>
      </c>
      <c r="AG25" s="2376" t="s">
        <v>745</v>
      </c>
      <c r="AH25" s="2376" t="s">
        <v>745</v>
      </c>
      <c r="AI25" s="2187" t="s">
        <v>746</v>
      </c>
      <c r="AJ25" s="2387" t="s">
        <v>747</v>
      </c>
      <c r="AK25" s="2387" t="s">
        <v>747</v>
      </c>
      <c r="AL25" s="2390" t="s">
        <v>748</v>
      </c>
      <c r="AM25" s="2194"/>
      <c r="AN25" s="2192"/>
      <c r="AO25" s="2356"/>
      <c r="AP25" s="2191"/>
      <c r="AQ25" s="2356"/>
      <c r="AR25" s="31" t="s">
        <v>749</v>
      </c>
      <c r="AS25" s="2356"/>
      <c r="AT25" s="1052"/>
      <c r="AU25" s="1095"/>
      <c r="AV25" s="2174"/>
      <c r="AW25" s="2181" t="s">
        <v>750</v>
      </c>
      <c r="AX25" s="2174"/>
      <c r="AY25" s="2191"/>
      <c r="AZ25" s="2181" t="s">
        <v>751</v>
      </c>
      <c r="BA25" s="2181" t="s">
        <v>752</v>
      </c>
      <c r="BB25" s="2361" t="s">
        <v>753</v>
      </c>
      <c r="BC25" s="1085"/>
      <c r="BD25" s="43"/>
      <c r="BE25" s="2335" t="str">
        <f>CONCATENATE("2 Não ►(",ROUND(BJ4,2),")")</f>
        <v>2 Não ►(3,36)</v>
      </c>
      <c r="BF25" s="28"/>
      <c r="BG25" s="117" t="s">
        <v>754</v>
      </c>
      <c r="BH25" s="2191"/>
      <c r="BI25" s="2194"/>
      <c r="BJ25" s="162" t="s">
        <v>106</v>
      </c>
      <c r="BK25" s="2191"/>
      <c r="BL25" s="2366" t="s">
        <v>267</v>
      </c>
      <c r="BM25" s="2342"/>
      <c r="BN25" s="28" t="s">
        <v>755</v>
      </c>
      <c r="BO25" s="2198"/>
      <c r="BP25" s="2198"/>
      <c r="BQ25" s="2198"/>
      <c r="BR25" s="2365"/>
      <c r="BS25" s="2365"/>
      <c r="BT25" s="2365"/>
      <c r="BU25" s="677"/>
      <c r="BV25" s="801"/>
      <c r="BW25" s="677"/>
      <c r="BX25" s="806"/>
      <c r="BY25" s="766"/>
      <c r="BZ25" s="1071"/>
      <c r="CA25" s="1079"/>
      <c r="CB25" s="1078"/>
    </row>
    <row r="26" spans="1:80" ht="11.25" customHeight="1">
      <c r="A26" s="2194"/>
      <c r="B26" s="2227"/>
      <c r="C26" s="28"/>
      <c r="D26" s="2319"/>
      <c r="E26" s="2342"/>
      <c r="F26" s="28" t="s">
        <v>106</v>
      </c>
      <c r="G26" s="269"/>
      <c r="I26" s="2174"/>
      <c r="J26" s="2293"/>
      <c r="K26" s="2295"/>
      <c r="L26" s="1413">
        <v>12</v>
      </c>
      <c r="M26" s="311" t="s">
        <v>756</v>
      </c>
      <c r="N26" s="98"/>
      <c r="P26" s="2194"/>
      <c r="Q26" s="2272"/>
      <c r="R26" s="2272"/>
      <c r="S26" s="2272"/>
      <c r="T26" s="2272"/>
      <c r="U26" s="2272"/>
      <c r="V26" s="2272"/>
      <c r="W26" s="2272"/>
      <c r="X26" s="2272"/>
      <c r="Y26" s="2272"/>
      <c r="Z26" s="2378"/>
      <c r="AA26" s="2380"/>
      <c r="AD26" s="2199"/>
      <c r="AE26" s="2376"/>
      <c r="AF26" s="2376"/>
      <c r="AG26" s="2376"/>
      <c r="AH26" s="2376"/>
      <c r="AI26" s="2187"/>
      <c r="AJ26" s="2388"/>
      <c r="AK26" s="2388"/>
      <c r="AL26" s="2363"/>
      <c r="AM26" s="2194"/>
      <c r="AN26" s="2192"/>
      <c r="AO26" s="2356"/>
      <c r="AP26" s="2191"/>
      <c r="AQ26" s="2356"/>
      <c r="AR26" s="31" t="s">
        <v>757</v>
      </c>
      <c r="AS26" s="2356"/>
      <c r="AT26" s="1096"/>
      <c r="AU26" s="1097"/>
      <c r="AV26" s="2174"/>
      <c r="AW26" s="2181"/>
      <c r="AX26" s="2174"/>
      <c r="AY26" s="117"/>
      <c r="AZ26" s="2181"/>
      <c r="BA26" s="2181"/>
      <c r="BB26" s="2361"/>
      <c r="BC26" s="1086"/>
      <c r="BD26" s="1087"/>
      <c r="BE26" s="2335"/>
      <c r="BF26" s="28"/>
      <c r="BG26" s="427" t="s">
        <v>758</v>
      </c>
      <c r="BH26" s="117" t="s">
        <v>759</v>
      </c>
      <c r="BI26" s="2194"/>
      <c r="BJ26" s="195" t="str">
        <f>CONCATENATE("2 Não ►(",TEXT(BL4,"0,00"),")")</f>
        <v>2 Não ►(3,38)</v>
      </c>
      <c r="BK26" s="2191"/>
      <c r="BL26" s="2366"/>
      <c r="BM26" s="2342"/>
      <c r="BN26" s="318" t="s">
        <v>758</v>
      </c>
      <c r="BO26" s="2198" t="s">
        <v>760</v>
      </c>
      <c r="BP26" s="2198" t="s">
        <v>760</v>
      </c>
      <c r="BQ26" s="2198" t="s">
        <v>760</v>
      </c>
      <c r="BR26" s="2365" t="s">
        <v>760</v>
      </c>
      <c r="BS26" s="2365" t="s">
        <v>760</v>
      </c>
      <c r="BT26" s="2365" t="s">
        <v>760</v>
      </c>
      <c r="BU26" s="677"/>
      <c r="BV26" s="1079"/>
      <c r="BW26" s="677"/>
      <c r="BX26" s="806"/>
      <c r="BY26" s="1080"/>
      <c r="BZ26" s="1071"/>
      <c r="CA26" s="1079"/>
      <c r="CB26" s="1078"/>
    </row>
    <row r="27" spans="1:80" ht="25.5" customHeight="1">
      <c r="A27" s="2194"/>
      <c r="B27" s="2227"/>
      <c r="C27" s="28" t="s">
        <v>106</v>
      </c>
      <c r="D27" s="2319"/>
      <c r="E27" s="2342"/>
      <c r="F27" s="2191" t="s">
        <v>761</v>
      </c>
      <c r="I27" s="2174"/>
      <c r="J27" s="2293"/>
      <c r="K27" s="2295"/>
      <c r="L27" s="1414">
        <v>13</v>
      </c>
      <c r="M27" s="419" t="s">
        <v>762</v>
      </c>
      <c r="O27" s="177"/>
      <c r="P27" s="2194"/>
      <c r="Q27" s="2272"/>
      <c r="R27" s="2272"/>
      <c r="S27" s="2272"/>
      <c r="T27" s="2272"/>
      <c r="U27" s="2272"/>
      <c r="V27" s="2272"/>
      <c r="W27" s="2272"/>
      <c r="X27" s="2272"/>
      <c r="Y27" s="2272"/>
      <c r="Z27" s="2378"/>
      <c r="AA27" s="2380"/>
      <c r="AB27" s="304"/>
      <c r="AC27" s="423"/>
      <c r="AD27" s="2199"/>
      <c r="AE27" s="2376"/>
      <c r="AF27" s="2376"/>
      <c r="AG27" s="2376"/>
      <c r="AH27" s="2376"/>
      <c r="AI27" s="2187"/>
      <c r="AJ27" s="2388"/>
      <c r="AK27" s="2388"/>
      <c r="AL27" s="2363"/>
      <c r="AM27" s="2194"/>
      <c r="AN27" s="2192"/>
      <c r="AO27" s="2356"/>
      <c r="AP27" s="2191"/>
      <c r="AQ27" s="2356"/>
      <c r="AR27" s="31" t="s">
        <v>763</v>
      </c>
      <c r="AS27" s="2356"/>
      <c r="AT27" s="801"/>
      <c r="AV27" s="2174"/>
      <c r="AW27" s="2181"/>
      <c r="AX27" s="428"/>
      <c r="AY27" s="117"/>
      <c r="AZ27" s="2181"/>
      <c r="BA27" s="2181"/>
      <c r="BB27" s="2361"/>
      <c r="BC27" s="1088"/>
      <c r="BD27" s="1079"/>
      <c r="BE27" s="429"/>
      <c r="BF27" s="429"/>
      <c r="BG27" s="429"/>
      <c r="BH27" s="98"/>
      <c r="BI27" s="2194"/>
      <c r="BJ27" s="430"/>
      <c r="BK27" s="117"/>
      <c r="BL27" s="318"/>
      <c r="BN27" s="431" t="s">
        <v>764</v>
      </c>
      <c r="BO27" s="2198"/>
      <c r="BP27" s="2198"/>
      <c r="BQ27" s="2198"/>
      <c r="BR27" s="2365"/>
      <c r="BS27" s="2365"/>
      <c r="BT27" s="2365"/>
      <c r="BU27" s="801"/>
      <c r="BV27" s="801"/>
      <c r="BW27" s="801"/>
      <c r="BX27" s="801"/>
      <c r="BY27" s="766"/>
      <c r="CA27" s="801"/>
      <c r="CB27" s="790"/>
    </row>
    <row r="28" spans="1:80" ht="65.25" customHeight="1" thickBot="1">
      <c r="A28" s="2194"/>
      <c r="B28" s="2227"/>
      <c r="C28" s="2174" t="str">
        <f>CONCATENATE("2 Não ►(",AD4,")")</f>
        <v>2 Não ►(3,12)</v>
      </c>
      <c r="D28" s="2319"/>
      <c r="E28" s="2342"/>
      <c r="F28" s="2191"/>
      <c r="G28" s="870"/>
      <c r="I28" s="2174"/>
      <c r="J28" s="2293"/>
      <c r="K28" s="2295"/>
      <c r="M28" s="774"/>
      <c r="O28" s="28"/>
      <c r="P28" s="2194"/>
      <c r="Q28" s="2272"/>
      <c r="R28" s="2272"/>
      <c r="S28" s="2272"/>
      <c r="T28" s="2272"/>
      <c r="U28" s="2272"/>
      <c r="V28" s="2272"/>
      <c r="W28" s="2272"/>
      <c r="X28" s="2272"/>
      <c r="Y28" s="2272"/>
      <c r="Z28" s="2378"/>
      <c r="AA28" s="2380"/>
      <c r="AB28" s="304"/>
      <c r="AC28" s="423"/>
      <c r="AD28" s="2199"/>
      <c r="AE28" s="2376"/>
      <c r="AF28" s="2376"/>
      <c r="AG28" s="2376"/>
      <c r="AH28" s="2376"/>
      <c r="AI28" s="2187"/>
      <c r="AJ28" s="2388"/>
      <c r="AK28" s="2388"/>
      <c r="AL28" s="2363"/>
      <c r="AM28" s="2194"/>
      <c r="AN28" s="2192"/>
      <c r="AO28" s="28"/>
      <c r="AP28" s="2191"/>
      <c r="AQ28" s="28"/>
      <c r="AS28" s="800"/>
      <c r="AT28" s="801"/>
      <c r="AV28" s="2174"/>
      <c r="AW28" s="2181"/>
      <c r="AX28" s="2356" t="s">
        <v>750</v>
      </c>
      <c r="AY28" s="321" t="s">
        <v>106</v>
      </c>
      <c r="AZ28" s="2181"/>
      <c r="BA28" s="2181"/>
      <c r="BB28" s="2361"/>
      <c r="BC28" s="1089"/>
      <c r="BD28" s="1090"/>
      <c r="BE28" s="28"/>
      <c r="BF28" s="28"/>
      <c r="BG28" s="28"/>
      <c r="BH28" s="28"/>
      <c r="BI28" s="2194"/>
      <c r="BJ28" s="432"/>
      <c r="BK28" s="98"/>
      <c r="BL28" s="98"/>
      <c r="BM28" s="863" t="s">
        <v>765</v>
      </c>
      <c r="BN28" s="318"/>
      <c r="BO28" s="2198" t="s">
        <v>766</v>
      </c>
      <c r="BP28" s="2198" t="s">
        <v>766</v>
      </c>
      <c r="BQ28" s="2198" t="s">
        <v>766</v>
      </c>
      <c r="BR28" s="2365" t="s">
        <v>766</v>
      </c>
      <c r="BS28" s="2365" t="s">
        <v>766</v>
      </c>
      <c r="BT28" s="2365" t="s">
        <v>766</v>
      </c>
      <c r="BU28" s="801"/>
      <c r="BV28" s="801"/>
      <c r="BW28" s="801"/>
      <c r="BX28" s="801"/>
      <c r="BY28" s="766"/>
      <c r="CA28" s="801"/>
      <c r="CB28" s="790"/>
    </row>
    <row r="29" spans="1:80" ht="21" customHeight="1" thickTop="1">
      <c r="A29" s="2194"/>
      <c r="B29" s="2227"/>
      <c r="C29" s="2174"/>
      <c r="D29" s="2319"/>
      <c r="E29" s="2342"/>
      <c r="F29" s="153"/>
      <c r="G29" s="870"/>
      <c r="H29" s="866"/>
      <c r="I29" s="321" t="s">
        <v>767</v>
      </c>
      <c r="J29" s="2296" t="str">
        <f>CONCATENATE("►► (",AD4,")")</f>
        <v>►► (3,12)</v>
      </c>
      <c r="K29" s="2372"/>
      <c r="L29" s="201"/>
      <c r="M29" s="774"/>
      <c r="O29" s="153"/>
      <c r="P29" s="2194"/>
      <c r="Q29" s="2272"/>
      <c r="R29" s="2272"/>
      <c r="S29" s="2272"/>
      <c r="T29" s="2272"/>
      <c r="U29" s="2272"/>
      <c r="V29" s="2272"/>
      <c r="W29" s="2272"/>
      <c r="X29" s="2272"/>
      <c r="Y29" s="2272"/>
      <c r="Z29" s="2378"/>
      <c r="AA29" s="2380"/>
      <c r="AB29" s="304"/>
      <c r="AC29" s="423"/>
      <c r="AD29" s="2199"/>
      <c r="AE29" s="28"/>
      <c r="AF29" s="28"/>
      <c r="AG29" s="28"/>
      <c r="AH29" s="28"/>
      <c r="AI29" s="303"/>
      <c r="AJ29" s="2388"/>
      <c r="AK29" s="2388"/>
      <c r="AL29" s="2363"/>
      <c r="AM29" s="2194"/>
      <c r="AO29" s="28"/>
      <c r="AP29" s="2191"/>
      <c r="AQ29" s="28"/>
      <c r="AR29" s="330"/>
      <c r="AS29" s="28"/>
      <c r="AT29" s="1052"/>
      <c r="AU29" s="1098"/>
      <c r="AW29" s="28"/>
      <c r="AX29" s="2356"/>
      <c r="AY29" s="2335" t="str">
        <f>CONCATENATE("2 Não ►(",ROUND(BE4,2),")")</f>
        <v>2 Não ►(3,32)</v>
      </c>
      <c r="AZ29" s="318"/>
      <c r="BA29" s="318"/>
      <c r="BB29" s="304"/>
      <c r="BC29" s="780"/>
      <c r="BD29" s="780"/>
      <c r="BE29" s="28"/>
      <c r="BF29" s="28"/>
      <c r="BG29" s="28"/>
      <c r="BH29" s="28"/>
      <c r="BI29" s="2194"/>
      <c r="BJ29" s="432"/>
      <c r="BK29" s="798"/>
      <c r="BL29" s="98"/>
      <c r="BN29" s="431"/>
      <c r="BO29" s="2198"/>
      <c r="BP29" s="2198"/>
      <c r="BQ29" s="2198"/>
      <c r="BR29" s="2365"/>
      <c r="BS29" s="2365"/>
      <c r="BT29" s="2365"/>
      <c r="BU29" s="768"/>
      <c r="BV29" s="768"/>
      <c r="BW29" s="768"/>
      <c r="BX29" s="768"/>
      <c r="BY29" s="768"/>
      <c r="BZ29" s="810"/>
      <c r="CA29" s="768"/>
      <c r="CB29" s="809"/>
    </row>
    <row r="30" spans="1:80" ht="13.5" customHeight="1">
      <c r="A30" s="2194"/>
      <c r="B30" s="2227"/>
      <c r="C30" s="318"/>
      <c r="D30" s="2319"/>
      <c r="E30" s="2342"/>
      <c r="F30" s="153"/>
      <c r="G30" s="870"/>
      <c r="H30" s="866"/>
      <c r="I30" s="153" t="s">
        <v>768</v>
      </c>
      <c r="J30" s="269"/>
      <c r="K30" s="269"/>
      <c r="L30" s="201"/>
      <c r="M30" s="774"/>
      <c r="O30" s="28"/>
      <c r="P30" s="2194"/>
      <c r="Q30" s="2272"/>
      <c r="R30" s="2272"/>
      <c r="S30" s="2272"/>
      <c r="T30" s="2272"/>
      <c r="U30" s="2272"/>
      <c r="V30" s="2272"/>
      <c r="W30" s="2272"/>
      <c r="X30" s="2272"/>
      <c r="Y30" s="2272"/>
      <c r="Z30" s="2378"/>
      <c r="AA30" s="2380"/>
      <c r="AB30" s="304"/>
      <c r="AC30" s="423"/>
      <c r="AE30" s="2354" t="s">
        <v>769</v>
      </c>
      <c r="AF30" s="2354" t="s">
        <v>769</v>
      </c>
      <c r="AG30" s="2354" t="s">
        <v>769</v>
      </c>
      <c r="AH30" s="2354" t="s">
        <v>769</v>
      </c>
      <c r="AI30" s="2354" t="s">
        <v>769</v>
      </c>
      <c r="AJ30" s="2388"/>
      <c r="AK30" s="2388"/>
      <c r="AL30" s="2363"/>
      <c r="AM30" s="2194"/>
      <c r="AN30" s="321" t="s">
        <v>106</v>
      </c>
      <c r="AO30" s="28"/>
      <c r="AP30" s="2191"/>
      <c r="AQ30" s="28"/>
      <c r="AR30" s="307"/>
      <c r="AS30" s="28"/>
      <c r="AT30" s="1052"/>
      <c r="AU30" s="1052"/>
      <c r="AV30" s="304" t="s">
        <v>106</v>
      </c>
      <c r="AW30" s="28"/>
      <c r="AX30" s="2356"/>
      <c r="AY30" s="2335"/>
      <c r="AZ30" s="318"/>
      <c r="BA30" s="318"/>
      <c r="BB30" s="304"/>
      <c r="BC30" s="767"/>
      <c r="BD30" s="767"/>
      <c r="BE30" s="28"/>
      <c r="BF30" s="28"/>
      <c r="BG30" s="28"/>
      <c r="BH30" s="28"/>
      <c r="BI30" s="2194"/>
      <c r="BJ30" s="432"/>
      <c r="BK30" s="798"/>
      <c r="BL30" s="98"/>
      <c r="BN30" s="307"/>
      <c r="BO30" s="2198" t="s">
        <v>770</v>
      </c>
      <c r="BP30" s="2198" t="s">
        <v>770</v>
      </c>
      <c r="BQ30" s="2198" t="s">
        <v>770</v>
      </c>
      <c r="BR30" s="2365" t="s">
        <v>770</v>
      </c>
      <c r="BS30" s="2365" t="s">
        <v>770</v>
      </c>
      <c r="BT30" s="2365" t="s">
        <v>770</v>
      </c>
      <c r="BU30" s="781"/>
      <c r="BV30" s="781"/>
      <c r="BW30" s="781"/>
      <c r="BX30" s="781"/>
      <c r="BY30" s="781"/>
      <c r="BZ30" s="781"/>
      <c r="CA30" s="781"/>
      <c r="CB30" s="781"/>
    </row>
    <row r="31" spans="1:80" ht="19.5" customHeight="1">
      <c r="A31" s="2194"/>
      <c r="B31" s="2227"/>
      <c r="C31" s="318"/>
      <c r="D31" s="2319"/>
      <c r="E31" s="2342"/>
      <c r="F31" s="153"/>
      <c r="G31" s="870"/>
      <c r="H31" s="419"/>
      <c r="I31" s="28"/>
      <c r="J31" s="314"/>
      <c r="K31" s="314"/>
      <c r="L31" s="201"/>
      <c r="M31" s="774"/>
      <c r="O31" s="153"/>
      <c r="P31" s="2194"/>
      <c r="Q31" s="2272"/>
      <c r="R31" s="2272"/>
      <c r="S31" s="2272"/>
      <c r="T31" s="2272"/>
      <c r="U31" s="2272"/>
      <c r="V31" s="2272"/>
      <c r="W31" s="2272"/>
      <c r="X31" s="2272"/>
      <c r="Y31" s="2272"/>
      <c r="Z31" s="2378"/>
      <c r="AA31" s="2380"/>
      <c r="AB31" s="304"/>
      <c r="AD31" s="318" t="s">
        <v>106</v>
      </c>
      <c r="AE31" s="2354"/>
      <c r="AF31" s="2354"/>
      <c r="AG31" s="2354"/>
      <c r="AH31" s="2354"/>
      <c r="AI31" s="2354"/>
      <c r="AJ31" s="2388"/>
      <c r="AK31" s="2388"/>
      <c r="AL31" s="2363"/>
      <c r="AM31" s="2194"/>
      <c r="AN31" s="2359" t="str">
        <f>CONCATENATE("2 Não ►(",ROUND(AV4,2),")")</f>
        <v>2 Não ►(3,25)</v>
      </c>
      <c r="AO31" s="28"/>
      <c r="AP31" s="2191"/>
      <c r="AQ31" s="28"/>
      <c r="AR31" s="318"/>
      <c r="AS31" s="28"/>
      <c r="AT31" s="1052"/>
      <c r="AU31" s="1052"/>
      <c r="AV31" s="304" t="str">
        <f>CONCATENATE("2 Não ►(",ROUND(AY4,2),")")</f>
        <v>2 Não ►(3,28)</v>
      </c>
      <c r="AW31" s="28"/>
      <c r="AX31" s="29"/>
      <c r="AY31" s="117"/>
      <c r="AZ31" s="318"/>
      <c r="BA31" s="423"/>
      <c r="BB31" s="314"/>
      <c r="BC31" s="781"/>
      <c r="BD31" s="781"/>
      <c r="BE31" s="28"/>
      <c r="BF31" s="28"/>
      <c r="BG31" s="28"/>
      <c r="BH31" s="28"/>
      <c r="BI31" s="2194"/>
      <c r="BJ31" s="432"/>
      <c r="BK31" s="798"/>
      <c r="BL31" s="318"/>
      <c r="BM31" s="423"/>
      <c r="BN31" s="318"/>
      <c r="BO31" s="2198"/>
      <c r="BP31" s="2198"/>
      <c r="BQ31" s="2198"/>
      <c r="BR31" s="2365"/>
      <c r="BS31" s="2365"/>
      <c r="BT31" s="2365"/>
      <c r="BU31" s="782"/>
      <c r="BV31" s="782"/>
      <c r="BW31" s="782"/>
      <c r="BX31" s="782"/>
      <c r="BY31" s="782"/>
      <c r="BZ31" s="782"/>
      <c r="CA31" s="782"/>
      <c r="CB31" s="782"/>
    </row>
    <row r="32" spans="1:80" ht="35.25" customHeight="1" thickBot="1">
      <c r="A32" s="2194"/>
      <c r="B32" s="2227"/>
      <c r="C32" s="318"/>
      <c r="D32" s="208"/>
      <c r="E32" s="866"/>
      <c r="F32" s="153"/>
      <c r="G32" s="269"/>
      <c r="H32" s="269"/>
      <c r="I32" s="28"/>
      <c r="J32" s="269"/>
      <c r="K32" s="433"/>
      <c r="L32" s="201"/>
      <c r="M32" s="774"/>
      <c r="N32" s="28"/>
      <c r="O32" s="28"/>
      <c r="P32" s="2194"/>
      <c r="Q32" s="2272"/>
      <c r="R32" s="2272"/>
      <c r="S32" s="2272"/>
      <c r="T32" s="2272"/>
      <c r="U32" s="2272"/>
      <c r="V32" s="2272"/>
      <c r="W32" s="2272"/>
      <c r="X32" s="2272"/>
      <c r="Y32" s="2272"/>
      <c r="Z32" s="2378"/>
      <c r="AA32" s="2380"/>
      <c r="AB32" s="304"/>
      <c r="AC32" s="423"/>
      <c r="AD32" s="318" t="str">
        <f>CONCATENATE("2 Não ►(",AN4,")")</f>
        <v>2 Não ►(3,19)</v>
      </c>
      <c r="AE32" s="28"/>
      <c r="AF32" s="28"/>
      <c r="AG32" s="28"/>
      <c r="AH32" s="28"/>
      <c r="AI32" s="303"/>
      <c r="AJ32" s="2388"/>
      <c r="AK32" s="2388"/>
      <c r="AL32" s="2363"/>
      <c r="AM32" s="2194"/>
      <c r="AN32" s="2359"/>
      <c r="AO32" s="28"/>
      <c r="AP32" s="2191"/>
      <c r="AQ32" s="28"/>
      <c r="AR32" s="318"/>
      <c r="AS32" s="28"/>
      <c r="AT32" s="1052"/>
      <c r="AU32" s="1052"/>
      <c r="AV32" s="303"/>
      <c r="AW32" s="28"/>
      <c r="AX32" s="29"/>
      <c r="AY32" s="330"/>
      <c r="AZ32" s="318"/>
      <c r="BA32" s="423"/>
      <c r="BB32" s="314"/>
      <c r="BC32" s="782"/>
      <c r="BD32" s="782"/>
      <c r="BE32" s="28"/>
      <c r="BF32" s="28"/>
      <c r="BG32" s="28"/>
      <c r="BH32" s="28"/>
      <c r="BI32" s="2194"/>
      <c r="BJ32" s="432"/>
      <c r="BK32" s="798"/>
      <c r="BL32" s="314"/>
      <c r="BM32" s="318"/>
      <c r="BN32" s="318"/>
      <c r="BO32" s="31"/>
      <c r="BP32" s="31"/>
      <c r="BQ32" s="31"/>
      <c r="BR32" s="677"/>
      <c r="BS32" s="677"/>
      <c r="BT32" s="677"/>
      <c r="BU32" s="783"/>
      <c r="BV32" s="783"/>
      <c r="BW32" s="783"/>
      <c r="BX32" s="783"/>
      <c r="BY32" s="783"/>
      <c r="BZ32" s="783"/>
      <c r="CA32" s="783"/>
      <c r="CB32" s="783"/>
    </row>
    <row r="33" spans="1:80" ht="12.75" customHeight="1" thickTop="1" thickBot="1">
      <c r="A33" s="2194"/>
      <c r="B33" s="2227"/>
      <c r="C33" s="318"/>
      <c r="D33" s="208"/>
      <c r="E33" s="866"/>
      <c r="F33" s="153"/>
      <c r="G33" s="269"/>
      <c r="H33" s="269"/>
      <c r="I33" s="28"/>
      <c r="L33" s="201"/>
      <c r="M33" s="774"/>
      <c r="N33" s="28"/>
      <c r="O33" s="28"/>
      <c r="P33" s="2194"/>
      <c r="Q33" s="2272"/>
      <c r="R33" s="2272"/>
      <c r="S33" s="2272"/>
      <c r="T33" s="2272"/>
      <c r="U33" s="2272"/>
      <c r="V33" s="2272"/>
      <c r="W33" s="2272"/>
      <c r="X33" s="2272"/>
      <c r="Y33" s="2272"/>
      <c r="Z33" s="2378"/>
      <c r="AA33" s="2380"/>
      <c r="AB33" s="304"/>
      <c r="AC33" s="423"/>
      <c r="AD33" s="423"/>
      <c r="AE33" s="192"/>
      <c r="AF33" s="192"/>
      <c r="AG33" s="192"/>
      <c r="AH33" s="192"/>
      <c r="AI33" s="434"/>
      <c r="AJ33" s="2389"/>
      <c r="AK33" s="2389"/>
      <c r="AL33" s="2391"/>
      <c r="AM33" s="2194"/>
      <c r="AN33" s="28"/>
      <c r="AO33" s="192"/>
      <c r="AP33" s="318"/>
      <c r="AQ33" s="192"/>
      <c r="AR33" s="318"/>
      <c r="AS33" s="192"/>
      <c r="AT33" s="1096"/>
      <c r="AU33" s="1096"/>
      <c r="AV33" s="434"/>
      <c r="AW33" s="192"/>
      <c r="AX33" s="428"/>
      <c r="AY33" s="31"/>
      <c r="AZ33" s="192"/>
      <c r="BA33" s="428"/>
      <c r="BB33" s="435"/>
      <c r="BC33" s="783"/>
      <c r="BD33" s="783"/>
      <c r="BE33" s="28"/>
      <c r="BF33" s="28"/>
      <c r="BG33" s="28"/>
      <c r="BH33" s="28"/>
      <c r="BI33" s="2194"/>
      <c r="BJ33" s="432"/>
      <c r="BK33" s="798"/>
      <c r="BL33" s="314"/>
      <c r="BM33" s="318"/>
      <c r="BN33" s="318"/>
      <c r="BO33" s="2313" t="s">
        <v>771</v>
      </c>
      <c r="BP33" s="2191" t="s">
        <v>771</v>
      </c>
      <c r="BQ33" s="2191" t="s">
        <v>771</v>
      </c>
      <c r="BR33" s="2231" t="s">
        <v>771</v>
      </c>
      <c r="BS33" s="2231" t="s">
        <v>771</v>
      </c>
      <c r="BT33" s="2231" t="s">
        <v>771</v>
      </c>
      <c r="BU33" s="767"/>
      <c r="BV33" s="767"/>
      <c r="BW33" s="767"/>
      <c r="BX33" s="767"/>
      <c r="BY33" s="767"/>
      <c r="BZ33" s="767"/>
      <c r="CA33" s="767"/>
      <c r="CB33" s="767"/>
    </row>
    <row r="34" spans="1:80" ht="15.75" customHeight="1" thickTop="1">
      <c r="A34" s="2194"/>
      <c r="B34" s="2227"/>
      <c r="C34" s="344"/>
      <c r="D34" s="654"/>
      <c r="E34" s="655"/>
      <c r="F34" s="153"/>
      <c r="G34" s="269"/>
      <c r="H34" s="269"/>
      <c r="I34" s="28"/>
      <c r="J34" s="314"/>
      <c r="K34" s="314"/>
      <c r="L34" s="775"/>
      <c r="M34" s="776"/>
      <c r="N34" s="28"/>
      <c r="O34" s="28"/>
      <c r="P34" s="2194"/>
      <c r="Q34" s="2272"/>
      <c r="R34" s="2272"/>
      <c r="S34" s="2272"/>
      <c r="T34" s="2272"/>
      <c r="U34" s="2272"/>
      <c r="V34" s="2272"/>
      <c r="W34" s="2272"/>
      <c r="X34" s="2272"/>
      <c r="Y34" s="2272"/>
      <c r="Z34" s="2378"/>
      <c r="AA34" s="2380"/>
      <c r="AB34" s="304"/>
      <c r="AC34" s="423"/>
      <c r="AD34" s="423"/>
      <c r="AE34" s="2357" t="s">
        <v>607</v>
      </c>
      <c r="AF34" s="2357" t="s">
        <v>607</v>
      </c>
      <c r="AG34" s="2357" t="s">
        <v>607</v>
      </c>
      <c r="AH34" s="2357" t="s">
        <v>607</v>
      </c>
      <c r="AI34" s="2357" t="s">
        <v>607</v>
      </c>
      <c r="AJ34" s="2357" t="s">
        <v>607</v>
      </c>
      <c r="AK34" s="2357" t="s">
        <v>607</v>
      </c>
      <c r="AL34" s="2357" t="s">
        <v>607</v>
      </c>
      <c r="AM34" s="2194"/>
      <c r="AN34" s="28"/>
      <c r="AP34" s="344"/>
      <c r="AR34" s="344"/>
      <c r="AS34" s="2357" t="s">
        <v>607</v>
      </c>
      <c r="AT34" s="799"/>
      <c r="AU34" s="2357" t="s">
        <v>607</v>
      </c>
      <c r="AV34" s="434"/>
      <c r="AW34" s="2357" t="s">
        <v>607</v>
      </c>
      <c r="AX34" s="2357" t="s">
        <v>607</v>
      </c>
      <c r="AY34" s="342"/>
      <c r="AZ34" s="2357" t="s">
        <v>607</v>
      </c>
      <c r="BA34" s="2357" t="s">
        <v>607</v>
      </c>
      <c r="BB34" s="2385" t="s">
        <v>607</v>
      </c>
      <c r="BC34" s="767"/>
      <c r="BD34" s="2384" t="s">
        <v>607</v>
      </c>
      <c r="BE34" s="217"/>
      <c r="BF34" s="2382" t="s">
        <v>772</v>
      </c>
      <c r="BG34" s="28"/>
      <c r="BH34" s="217"/>
      <c r="BI34" s="2194"/>
      <c r="BJ34" s="432"/>
      <c r="BK34" s="798"/>
      <c r="BL34" s="314"/>
      <c r="BM34" s="318"/>
      <c r="BN34" s="344"/>
      <c r="BO34" s="2313"/>
      <c r="BP34" s="2222"/>
      <c r="BQ34" s="2222"/>
      <c r="BR34" s="2367"/>
      <c r="BS34" s="2367"/>
      <c r="BT34" s="2367"/>
      <c r="BU34" s="781"/>
      <c r="BV34" s="2357" t="s">
        <v>607</v>
      </c>
      <c r="BW34" s="781"/>
      <c r="BX34" s="781"/>
      <c r="BY34" s="2357" t="s">
        <v>607</v>
      </c>
      <c r="BZ34" s="781"/>
      <c r="CA34" s="781"/>
      <c r="CB34" s="781"/>
    </row>
    <row r="35" spans="1:80" ht="15.75" customHeight="1" thickBot="1">
      <c r="A35" s="2195"/>
      <c r="B35" s="2228"/>
      <c r="C35" s="436" t="s">
        <v>420</v>
      </c>
      <c r="D35" s="2369" t="s">
        <v>420</v>
      </c>
      <c r="E35" s="2370"/>
      <c r="F35" s="229" t="s">
        <v>420</v>
      </c>
      <c r="G35" s="2369" t="s">
        <v>420</v>
      </c>
      <c r="H35" s="2370"/>
      <c r="I35" s="229" t="s">
        <v>420</v>
      </c>
      <c r="J35" s="2369" t="s">
        <v>420</v>
      </c>
      <c r="K35" s="2370"/>
      <c r="L35" s="2369" t="s">
        <v>420</v>
      </c>
      <c r="M35" s="2370"/>
      <c r="N35" s="229" t="s">
        <v>420</v>
      </c>
      <c r="O35" s="229" t="s">
        <v>420</v>
      </c>
      <c r="P35" s="2194"/>
      <c r="Q35" s="2273"/>
      <c r="R35" s="2273"/>
      <c r="S35" s="2273"/>
      <c r="T35" s="2273"/>
      <c r="U35" s="2273"/>
      <c r="V35" s="2273"/>
      <c r="W35" s="2273"/>
      <c r="X35" s="2273"/>
      <c r="Y35" s="2273"/>
      <c r="Z35" s="2379"/>
      <c r="AA35" s="2381"/>
      <c r="AB35" s="2201" t="s">
        <v>420</v>
      </c>
      <c r="AC35" s="2203"/>
      <c r="AD35" s="228" t="s">
        <v>420</v>
      </c>
      <c r="AE35" s="2358"/>
      <c r="AF35" s="2358"/>
      <c r="AG35" s="2358"/>
      <c r="AH35" s="2358"/>
      <c r="AI35" s="2358"/>
      <c r="AJ35" s="2358"/>
      <c r="AK35" s="2358"/>
      <c r="AL35" s="2358"/>
      <c r="AM35" s="2194"/>
      <c r="AN35" s="229" t="s">
        <v>420</v>
      </c>
      <c r="AO35" s="356" t="s">
        <v>773</v>
      </c>
      <c r="AP35" s="228" t="s">
        <v>420</v>
      </c>
      <c r="AQ35" s="356" t="s">
        <v>773</v>
      </c>
      <c r="AR35" s="228" t="s">
        <v>420</v>
      </c>
      <c r="AS35" s="2358"/>
      <c r="AT35" s="228" t="s">
        <v>420</v>
      </c>
      <c r="AU35" s="2358"/>
      <c r="AV35" s="437" t="s">
        <v>420</v>
      </c>
      <c r="AW35" s="2358"/>
      <c r="AX35" s="2358"/>
      <c r="AY35" s="229" t="s">
        <v>420</v>
      </c>
      <c r="AZ35" s="2358"/>
      <c r="BA35" s="2358"/>
      <c r="BB35" s="2358"/>
      <c r="BC35" s="229" t="s">
        <v>420</v>
      </c>
      <c r="BD35" s="2356"/>
      <c r="BE35" s="228" t="s">
        <v>420</v>
      </c>
      <c r="BF35" s="2383"/>
      <c r="BG35" s="228" t="s">
        <v>420</v>
      </c>
      <c r="BH35" s="438" t="s">
        <v>420</v>
      </c>
      <c r="BI35" s="2194"/>
      <c r="BJ35" s="439" t="s">
        <v>420</v>
      </c>
      <c r="BK35" s="228" t="s">
        <v>420</v>
      </c>
      <c r="BL35" s="440" t="s">
        <v>420</v>
      </c>
      <c r="BM35" s="228" t="s">
        <v>420</v>
      </c>
      <c r="BN35" s="228" t="s">
        <v>420</v>
      </c>
      <c r="BO35" s="441" t="s">
        <v>420</v>
      </c>
      <c r="BP35" s="228" t="s">
        <v>420</v>
      </c>
      <c r="BQ35" s="441" t="s">
        <v>420</v>
      </c>
      <c r="BR35" s="807" t="s">
        <v>420</v>
      </c>
      <c r="BS35" s="808" t="s">
        <v>420</v>
      </c>
      <c r="BT35" s="808" t="s">
        <v>420</v>
      </c>
      <c r="BU35" s="808" t="s">
        <v>420</v>
      </c>
      <c r="BV35" s="2358"/>
      <c r="BW35" s="808" t="s">
        <v>420</v>
      </c>
      <c r="BX35" s="808" t="s">
        <v>774</v>
      </c>
      <c r="BY35" s="2358"/>
      <c r="BZ35" s="808"/>
      <c r="CA35" s="808" t="s">
        <v>420</v>
      </c>
      <c r="CB35" s="808" t="s">
        <v>420</v>
      </c>
    </row>
    <row r="36" spans="1:80" ht="15" thickTop="1" thickBot="1">
      <c r="A36" s="231" t="s">
        <v>775</v>
      </c>
      <c r="B36" s="364"/>
      <c r="C36" s="442"/>
      <c r="D36" s="443"/>
      <c r="E36" s="442"/>
      <c r="F36" s="444"/>
      <c r="G36" s="442"/>
      <c r="H36" s="445"/>
      <c r="I36" s="444"/>
      <c r="J36" s="442"/>
      <c r="K36" s="445"/>
      <c r="L36" s="443"/>
      <c r="M36" s="445"/>
      <c r="N36" s="444"/>
      <c r="O36" s="444"/>
      <c r="P36" s="231" t="s">
        <v>775</v>
      </c>
      <c r="Q36" s="444"/>
      <c r="R36" s="444"/>
      <c r="S36" s="444"/>
      <c r="T36" s="444"/>
      <c r="U36" s="444"/>
      <c r="V36" s="444"/>
      <c r="W36" s="444"/>
      <c r="X36" s="444"/>
      <c r="Y36" s="444"/>
      <c r="Z36" s="767"/>
      <c r="AA36" s="767"/>
      <c r="AB36" s="443"/>
      <c r="AC36" s="445"/>
      <c r="AD36" s="445"/>
      <c r="AE36" s="445"/>
      <c r="AF36" s="445"/>
      <c r="AG36" s="445"/>
      <c r="AH36" s="445"/>
      <c r="AI36" s="445"/>
      <c r="AJ36" s="793"/>
      <c r="AK36" s="793"/>
      <c r="AL36" s="793"/>
      <c r="AM36" s="231" t="s">
        <v>775</v>
      </c>
      <c r="AN36" s="444"/>
      <c r="AO36" s="217"/>
      <c r="AP36" s="446"/>
      <c r="AQ36" s="217"/>
      <c r="AR36" s="446"/>
      <c r="AS36" s="217"/>
      <c r="AT36" s="217"/>
      <c r="AU36" s="217"/>
      <c r="AV36" s="217"/>
      <c r="AW36" s="217"/>
      <c r="AX36" s="217"/>
      <c r="AY36" s="444"/>
      <c r="AZ36" s="444"/>
      <c r="BA36" s="444"/>
      <c r="BB36" s="444"/>
      <c r="BC36" s="781"/>
      <c r="BD36" s="356"/>
      <c r="BE36" s="444"/>
      <c r="BF36" s="444"/>
      <c r="BG36" s="444"/>
      <c r="BH36" s="445"/>
      <c r="BI36" s="231" t="s">
        <v>775</v>
      </c>
      <c r="BJ36" s="447"/>
      <c r="BK36" s="444"/>
      <c r="BL36" s="445"/>
      <c r="BM36" s="217"/>
      <c r="BN36" s="446"/>
      <c r="BO36" s="444"/>
      <c r="BP36" s="448"/>
      <c r="BQ36" s="444"/>
      <c r="BR36" s="780"/>
      <c r="BS36" s="780"/>
      <c r="BT36" s="780"/>
      <c r="BU36" s="781"/>
      <c r="BV36" s="192"/>
      <c r="BW36" s="781"/>
      <c r="BX36" s="781"/>
      <c r="BY36" s="192"/>
      <c r="BZ36" s="781"/>
      <c r="CA36" s="781"/>
      <c r="CB36" s="781"/>
    </row>
    <row r="37" spans="1:80" ht="14.25" thickTop="1">
      <c r="A37" s="396" t="s">
        <v>776</v>
      </c>
      <c r="B37" s="397"/>
      <c r="C37" s="269"/>
      <c r="D37" s="303"/>
      <c r="E37" s="269"/>
      <c r="F37" s="28"/>
      <c r="G37" s="269"/>
      <c r="H37" s="29"/>
      <c r="I37" s="28"/>
      <c r="J37" s="269"/>
      <c r="K37" s="29"/>
      <c r="L37" s="303"/>
      <c r="M37" s="29"/>
      <c r="N37" s="28"/>
      <c r="O37" s="28"/>
      <c r="P37" s="396" t="s">
        <v>776</v>
      </c>
      <c r="Q37" s="28"/>
      <c r="R37" s="28"/>
      <c r="S37" s="28"/>
      <c r="T37" s="28"/>
      <c r="U37" s="28"/>
      <c r="V37" s="28"/>
      <c r="W37" s="28"/>
      <c r="X37" s="28"/>
      <c r="Y37" s="28"/>
      <c r="Z37" s="782"/>
      <c r="AA37" s="782"/>
      <c r="AB37" s="303"/>
      <c r="AC37" s="29"/>
      <c r="AD37" s="29"/>
      <c r="AE37" s="29"/>
      <c r="AF37" s="29"/>
      <c r="AG37" s="29"/>
      <c r="AH37" s="29"/>
      <c r="AI37" s="29"/>
      <c r="AJ37" s="83"/>
      <c r="AK37" s="83"/>
      <c r="AL37" s="83"/>
      <c r="AM37" s="396" t="s">
        <v>776</v>
      </c>
      <c r="AN37" s="28"/>
      <c r="AO37" s="28"/>
      <c r="AP37" s="269"/>
      <c r="AQ37" s="28"/>
      <c r="AR37" s="269"/>
      <c r="AS37" s="28"/>
      <c r="AT37" s="28"/>
      <c r="AU37" s="28"/>
      <c r="AV37" s="28"/>
      <c r="AW37" s="28"/>
      <c r="AX37" s="28"/>
      <c r="AY37" s="28"/>
      <c r="AZ37" s="28"/>
      <c r="BA37" s="28"/>
      <c r="BB37" s="28"/>
      <c r="BC37" s="782"/>
      <c r="BD37" s="782"/>
      <c r="BE37" s="28"/>
      <c r="BF37" s="28"/>
      <c r="BG37" s="28"/>
      <c r="BH37" s="29"/>
      <c r="BI37" s="396" t="s">
        <v>776</v>
      </c>
      <c r="BJ37" s="432"/>
      <c r="BK37" s="28"/>
      <c r="BL37" s="29"/>
      <c r="BM37" s="28"/>
      <c r="BN37" s="269"/>
      <c r="BO37" s="28"/>
      <c r="BP37" s="29"/>
      <c r="BQ37" s="28"/>
      <c r="BR37" s="767"/>
      <c r="BS37" s="767"/>
      <c r="BT37" s="767"/>
      <c r="BU37" s="782"/>
      <c r="BV37" s="782"/>
      <c r="BW37" s="782"/>
      <c r="BX37" s="782"/>
      <c r="BY37" s="782"/>
      <c r="BZ37" s="782"/>
      <c r="CA37" s="782"/>
      <c r="CB37" s="782"/>
    </row>
    <row r="38" spans="1:80" ht="14.25" thickBot="1">
      <c r="A38" s="257">
        <v>3</v>
      </c>
      <c r="B38" s="376"/>
      <c r="C38" s="449"/>
      <c r="D38" s="450"/>
      <c r="E38" s="449"/>
      <c r="F38" s="451"/>
      <c r="G38" s="449"/>
      <c r="H38" s="452"/>
      <c r="I38" s="451"/>
      <c r="J38" s="449"/>
      <c r="K38" s="452"/>
      <c r="L38" s="450"/>
      <c r="M38" s="452"/>
      <c r="N38" s="451"/>
      <c r="O38" s="451"/>
      <c r="P38" s="257">
        <v>3</v>
      </c>
      <c r="Q38" s="451"/>
      <c r="R38" s="451"/>
      <c r="S38" s="451"/>
      <c r="T38" s="451"/>
      <c r="U38" s="451"/>
      <c r="V38" s="451"/>
      <c r="W38" s="451"/>
      <c r="X38" s="451"/>
      <c r="Y38" s="451"/>
      <c r="Z38" s="783"/>
      <c r="AA38" s="783"/>
      <c r="AB38" s="450"/>
      <c r="AC38" s="452"/>
      <c r="AD38" s="452"/>
      <c r="AE38" s="452"/>
      <c r="AF38" s="452"/>
      <c r="AG38" s="452"/>
      <c r="AH38" s="452"/>
      <c r="AI38" s="452"/>
      <c r="AJ38" s="794"/>
      <c r="AK38" s="794"/>
      <c r="AL38" s="794"/>
      <c r="AM38" s="257">
        <v>3</v>
      </c>
      <c r="AN38" s="451"/>
      <c r="AO38" s="451"/>
      <c r="AP38" s="449"/>
      <c r="AQ38" s="451"/>
      <c r="AR38" s="449"/>
      <c r="AS38" s="451"/>
      <c r="AT38" s="451"/>
      <c r="AU38" s="451"/>
      <c r="AV38" s="451"/>
      <c r="AW38" s="451"/>
      <c r="AX38" s="451"/>
      <c r="AY38" s="451"/>
      <c r="AZ38" s="451"/>
      <c r="BA38" s="451"/>
      <c r="BB38" s="451"/>
      <c r="BC38" s="783"/>
      <c r="BD38" s="783"/>
      <c r="BE38" s="451"/>
      <c r="BF38" s="451"/>
      <c r="BG38" s="451"/>
      <c r="BH38" s="452"/>
      <c r="BI38" s="257">
        <v>3</v>
      </c>
      <c r="BJ38" s="453"/>
      <c r="BK38" s="451"/>
      <c r="BL38" s="452"/>
      <c r="BM38" s="451"/>
      <c r="BN38" s="449"/>
      <c r="BO38" s="451"/>
      <c r="BP38" s="452"/>
      <c r="BQ38" s="451"/>
      <c r="BR38" s="781"/>
      <c r="BS38" s="781"/>
      <c r="BT38" s="781"/>
      <c r="BU38" s="783"/>
      <c r="BV38" s="783"/>
      <c r="BW38" s="783"/>
      <c r="BX38" s="783"/>
      <c r="BY38" s="783"/>
      <c r="BZ38" s="783"/>
      <c r="CA38" s="783"/>
      <c r="CB38" s="783"/>
    </row>
    <row r="39" spans="1:80" ht="14.25" thickTop="1">
      <c r="A39" s="249">
        <v>4</v>
      </c>
      <c r="B39" s="409"/>
      <c r="C39" s="112"/>
      <c r="D39" s="454"/>
      <c r="E39" s="112"/>
      <c r="F39" s="455"/>
      <c r="G39" s="112"/>
      <c r="H39" s="456"/>
      <c r="I39" s="455"/>
      <c r="J39" s="112"/>
      <c r="K39" s="456"/>
      <c r="L39" s="454"/>
      <c r="M39" s="456"/>
      <c r="N39" s="455"/>
      <c r="O39" s="455"/>
      <c r="P39" s="249">
        <v>4</v>
      </c>
      <c r="Q39" s="455"/>
      <c r="R39" s="455"/>
      <c r="S39" s="455"/>
      <c r="T39" s="455"/>
      <c r="U39" s="455"/>
      <c r="V39" s="455"/>
      <c r="W39" s="455"/>
      <c r="X39" s="455"/>
      <c r="Y39" s="455"/>
      <c r="Z39" s="767"/>
      <c r="AA39" s="767"/>
      <c r="AB39" s="454"/>
      <c r="AC39" s="456"/>
      <c r="AD39" s="456"/>
      <c r="AE39" s="456"/>
      <c r="AF39" s="456"/>
      <c r="AG39" s="456"/>
      <c r="AH39" s="456"/>
      <c r="AI39" s="456"/>
      <c r="AJ39" s="795"/>
      <c r="AK39" s="795"/>
      <c r="AL39" s="795"/>
      <c r="AM39" s="249">
        <v>4</v>
      </c>
      <c r="AN39" s="455"/>
      <c r="AO39" s="455"/>
      <c r="AP39" s="112"/>
      <c r="AQ39" s="455"/>
      <c r="AR39" s="112"/>
      <c r="AS39" s="455"/>
      <c r="AT39" s="455"/>
      <c r="AU39" s="455"/>
      <c r="AV39" s="455"/>
      <c r="AW39" s="455"/>
      <c r="AX39" s="455"/>
      <c r="AY39" s="455"/>
      <c r="AZ39" s="455"/>
      <c r="BA39" s="455"/>
      <c r="BB39" s="455"/>
      <c r="BC39" s="767"/>
      <c r="BD39" s="767"/>
      <c r="BE39" s="455"/>
      <c r="BF39" s="455"/>
      <c r="BG39" s="455"/>
      <c r="BH39" s="456"/>
      <c r="BI39" s="249">
        <v>4</v>
      </c>
      <c r="BJ39" s="457"/>
      <c r="BK39" s="455"/>
      <c r="BL39" s="456"/>
      <c r="BM39" s="455"/>
      <c r="BN39" s="112"/>
      <c r="BO39" s="455"/>
      <c r="BP39" s="456"/>
      <c r="BQ39" s="455"/>
      <c r="BR39" s="782"/>
      <c r="BS39" s="782"/>
      <c r="BT39" s="782"/>
      <c r="BU39" s="781"/>
      <c r="BV39" s="781"/>
      <c r="BW39" s="781"/>
      <c r="BX39" s="781"/>
      <c r="BY39" s="781"/>
      <c r="BZ39" s="781"/>
      <c r="CA39" s="781"/>
      <c r="CB39" s="781"/>
    </row>
    <row r="40" spans="1:80" ht="14.25" thickBot="1">
      <c r="A40" s="458">
        <v>5</v>
      </c>
      <c r="B40" s="459"/>
      <c r="C40" s="460"/>
      <c r="D40" s="461"/>
      <c r="E40" s="460"/>
      <c r="F40" s="462"/>
      <c r="G40" s="460"/>
      <c r="H40" s="463"/>
      <c r="I40" s="462"/>
      <c r="J40" s="460"/>
      <c r="K40" s="463"/>
      <c r="L40" s="461"/>
      <c r="M40" s="463"/>
      <c r="N40" s="462"/>
      <c r="O40" s="462"/>
      <c r="P40" s="458">
        <v>5</v>
      </c>
      <c r="Q40" s="462"/>
      <c r="R40" s="462"/>
      <c r="S40" s="462"/>
      <c r="T40" s="462"/>
      <c r="U40" s="462"/>
      <c r="V40" s="462"/>
      <c r="W40" s="462"/>
      <c r="X40" s="462"/>
      <c r="Y40" s="462"/>
      <c r="Z40" s="781"/>
      <c r="AA40" s="781"/>
      <c r="AB40" s="461"/>
      <c r="AC40" s="463"/>
      <c r="AD40" s="463"/>
      <c r="AE40" s="463"/>
      <c r="AF40" s="463"/>
      <c r="AG40" s="463"/>
      <c r="AH40" s="463"/>
      <c r="AI40" s="463"/>
      <c r="AJ40" s="796"/>
      <c r="AK40" s="796"/>
      <c r="AL40" s="796"/>
      <c r="AM40" s="458">
        <v>5</v>
      </c>
      <c r="AN40" s="462"/>
      <c r="AO40" s="462"/>
      <c r="AP40" s="460"/>
      <c r="AQ40" s="462"/>
      <c r="AR40" s="460"/>
      <c r="AS40" s="462"/>
      <c r="AT40" s="462"/>
      <c r="AU40" s="462"/>
      <c r="AV40" s="462"/>
      <c r="AW40" s="462"/>
      <c r="AX40" s="462"/>
      <c r="AY40" s="462"/>
      <c r="AZ40" s="462"/>
      <c r="BA40" s="462"/>
      <c r="BB40" s="462"/>
      <c r="BC40" s="781"/>
      <c r="BD40" s="781"/>
      <c r="BE40" s="462"/>
      <c r="BF40" s="462"/>
      <c r="BG40" s="462"/>
      <c r="BH40" s="463"/>
      <c r="BI40" s="458">
        <v>5</v>
      </c>
      <c r="BJ40" s="464"/>
      <c r="BK40" s="462"/>
      <c r="BL40" s="463"/>
      <c r="BM40" s="462"/>
      <c r="BN40" s="460"/>
      <c r="BO40" s="462"/>
      <c r="BP40" s="463"/>
      <c r="BQ40" s="462"/>
      <c r="BR40" s="783"/>
      <c r="BS40" s="783"/>
      <c r="BT40" s="783"/>
      <c r="BU40" s="783"/>
      <c r="BV40" s="783"/>
      <c r="BW40" s="783"/>
      <c r="BX40" s="783"/>
      <c r="BY40" s="783"/>
      <c r="BZ40" s="783"/>
      <c r="CA40" s="783"/>
      <c r="CB40" s="783"/>
    </row>
    <row r="41" spans="1:80" ht="14.25" thickTop="1">
      <c r="A41" s="241">
        <v>6</v>
      </c>
      <c r="B41" s="397"/>
      <c r="C41" s="269"/>
      <c r="D41" s="303"/>
      <c r="E41" s="269"/>
      <c r="F41" s="28"/>
      <c r="G41" s="269"/>
      <c r="H41" s="29"/>
      <c r="I41" s="28"/>
      <c r="J41" s="269"/>
      <c r="K41" s="29"/>
      <c r="L41" s="303"/>
      <c r="M41" s="29"/>
      <c r="N41" s="28"/>
      <c r="O41" s="28"/>
      <c r="P41" s="241">
        <v>6</v>
      </c>
      <c r="Q41" s="28"/>
      <c r="R41" s="28"/>
      <c r="S41" s="28"/>
      <c r="T41" s="28"/>
      <c r="U41" s="28"/>
      <c r="V41" s="28"/>
      <c r="W41" s="28"/>
      <c r="X41" s="28"/>
      <c r="Y41" s="28"/>
      <c r="Z41" s="781"/>
      <c r="AA41" s="781"/>
      <c r="AB41" s="303"/>
      <c r="AC41" s="29"/>
      <c r="AD41" s="29"/>
      <c r="AE41" s="29"/>
      <c r="AF41" s="29"/>
      <c r="AG41" s="29"/>
      <c r="AH41" s="29"/>
      <c r="AI41" s="29"/>
      <c r="AJ41" s="83"/>
      <c r="AK41" s="83"/>
      <c r="AL41" s="83"/>
      <c r="AM41" s="241">
        <v>6</v>
      </c>
      <c r="AN41" s="28"/>
      <c r="AO41" s="28"/>
      <c r="AP41" s="269"/>
      <c r="AQ41" s="28"/>
      <c r="AR41" s="269"/>
      <c r="AS41" s="28"/>
      <c r="AT41" s="217"/>
      <c r="AU41" s="217"/>
      <c r="AV41" s="28"/>
      <c r="AW41" s="28"/>
      <c r="AX41" s="28"/>
      <c r="AY41" s="28"/>
      <c r="AZ41" s="28"/>
      <c r="BA41" s="28"/>
      <c r="BB41" s="28"/>
      <c r="BC41" s="781"/>
      <c r="BD41" s="781"/>
      <c r="BE41" s="28"/>
      <c r="BF41" s="28"/>
      <c r="BG41" s="28"/>
      <c r="BH41" s="29"/>
      <c r="BI41" s="241">
        <v>6</v>
      </c>
      <c r="BJ41" s="432"/>
      <c r="BK41" s="28"/>
      <c r="BL41" s="29"/>
      <c r="BM41" s="28"/>
      <c r="BN41" s="269"/>
      <c r="BO41" s="28"/>
      <c r="BP41" s="29"/>
      <c r="BQ41" s="28"/>
      <c r="BR41" s="767"/>
      <c r="BS41" s="767"/>
      <c r="BT41" s="767"/>
      <c r="BU41" s="767"/>
      <c r="BV41" s="767"/>
      <c r="BW41" s="767"/>
      <c r="BX41" s="767"/>
      <c r="BY41" s="767"/>
      <c r="BZ41" s="767"/>
      <c r="CA41" s="767"/>
      <c r="CB41" s="767"/>
    </row>
    <row r="42" spans="1:80" ht="13.5">
      <c r="A42" s="249">
        <v>7</v>
      </c>
      <c r="B42" s="376"/>
      <c r="C42" s="449"/>
      <c r="D42" s="450"/>
      <c r="E42" s="449"/>
      <c r="F42" s="451"/>
      <c r="G42" s="449"/>
      <c r="H42" s="452"/>
      <c r="I42" s="451"/>
      <c r="J42" s="449"/>
      <c r="K42" s="452"/>
      <c r="L42" s="450"/>
      <c r="M42" s="452"/>
      <c r="N42" s="451"/>
      <c r="O42" s="451"/>
      <c r="P42" s="249">
        <v>7</v>
      </c>
      <c r="Q42" s="451"/>
      <c r="R42" s="451"/>
      <c r="S42" s="451"/>
      <c r="T42" s="451"/>
      <c r="U42" s="451"/>
      <c r="V42" s="451"/>
      <c r="W42" s="451"/>
      <c r="X42" s="451"/>
      <c r="Y42" s="451"/>
      <c r="Z42" s="782"/>
      <c r="AA42" s="782"/>
      <c r="AB42" s="450"/>
      <c r="AC42" s="452"/>
      <c r="AD42" s="452"/>
      <c r="AE42" s="452"/>
      <c r="AF42" s="452"/>
      <c r="AG42" s="452"/>
      <c r="AH42" s="452"/>
      <c r="AI42" s="452"/>
      <c r="AJ42" s="794"/>
      <c r="AK42" s="794"/>
      <c r="AL42" s="794"/>
      <c r="AM42" s="249">
        <v>7</v>
      </c>
      <c r="AN42" s="451"/>
      <c r="AO42" s="451"/>
      <c r="AP42" s="449"/>
      <c r="AQ42" s="451"/>
      <c r="AR42" s="449"/>
      <c r="AS42" s="451"/>
      <c r="AT42" s="28"/>
      <c r="AU42" s="28"/>
      <c r="AV42" s="451"/>
      <c r="AW42" s="451"/>
      <c r="AX42" s="451"/>
      <c r="AY42" s="451"/>
      <c r="AZ42" s="451"/>
      <c r="BA42" s="451"/>
      <c r="BB42" s="451"/>
      <c r="BC42" s="782"/>
      <c r="BD42" s="782"/>
      <c r="BE42" s="451"/>
      <c r="BF42" s="451"/>
      <c r="BG42" s="451"/>
      <c r="BH42" s="452"/>
      <c r="BI42" s="249">
        <v>7</v>
      </c>
      <c r="BJ42" s="453"/>
      <c r="BK42" s="451"/>
      <c r="BL42" s="452"/>
      <c r="BM42" s="451"/>
      <c r="BN42" s="449"/>
      <c r="BO42" s="451"/>
      <c r="BP42" s="452"/>
      <c r="BQ42" s="451"/>
      <c r="BR42" s="781"/>
      <c r="BS42" s="781"/>
      <c r="BT42" s="781"/>
      <c r="BU42" s="781"/>
      <c r="BV42" s="781"/>
      <c r="BW42" s="781"/>
      <c r="BX42" s="781"/>
      <c r="BY42" s="781"/>
      <c r="BZ42" s="781"/>
      <c r="CA42" s="781"/>
      <c r="CB42" s="781"/>
    </row>
    <row r="43" spans="1:80" ht="13.5">
      <c r="A43" s="257">
        <v>8</v>
      </c>
      <c r="B43" s="376"/>
      <c r="C43" s="449"/>
      <c r="D43" s="450"/>
      <c r="E43" s="449"/>
      <c r="F43" s="451"/>
      <c r="G43" s="449"/>
      <c r="H43" s="452"/>
      <c r="I43" s="451"/>
      <c r="J43" s="449"/>
      <c r="K43" s="452"/>
      <c r="L43" s="450"/>
      <c r="M43" s="452"/>
      <c r="N43" s="451"/>
      <c r="O43" s="451"/>
      <c r="P43" s="257">
        <v>8</v>
      </c>
      <c r="Q43" s="451"/>
      <c r="R43" s="451"/>
      <c r="S43" s="451"/>
      <c r="T43" s="451"/>
      <c r="U43" s="451"/>
      <c r="V43" s="451"/>
      <c r="W43" s="451"/>
      <c r="X43" s="451"/>
      <c r="Y43" s="451"/>
      <c r="Z43" s="782"/>
      <c r="AA43" s="782"/>
      <c r="AB43" s="450"/>
      <c r="AC43" s="452"/>
      <c r="AD43" s="452"/>
      <c r="AE43" s="452"/>
      <c r="AF43" s="452"/>
      <c r="AG43" s="452"/>
      <c r="AH43" s="452"/>
      <c r="AI43" s="452"/>
      <c r="AJ43" s="794"/>
      <c r="AK43" s="794"/>
      <c r="AL43" s="794"/>
      <c r="AM43" s="257">
        <v>8</v>
      </c>
      <c r="AN43" s="451"/>
      <c r="AO43" s="451"/>
      <c r="AP43" s="449"/>
      <c r="AQ43" s="451"/>
      <c r="AR43" s="449"/>
      <c r="AS43" s="451"/>
      <c r="AT43" s="781"/>
      <c r="AU43" s="781"/>
      <c r="AV43" s="451"/>
      <c r="AW43" s="451"/>
      <c r="AX43" s="451"/>
      <c r="AY43" s="451"/>
      <c r="AZ43" s="451"/>
      <c r="BA43" s="451"/>
      <c r="BB43" s="451"/>
      <c r="BC43" s="782"/>
      <c r="BD43" s="782"/>
      <c r="BE43" s="451"/>
      <c r="BF43" s="451"/>
      <c r="BG43" s="451"/>
      <c r="BH43" s="452"/>
      <c r="BI43" s="257">
        <v>8</v>
      </c>
      <c r="BJ43" s="453"/>
      <c r="BK43" s="451"/>
      <c r="BL43" s="452"/>
      <c r="BM43" s="451"/>
      <c r="BN43" s="449"/>
      <c r="BO43" s="451"/>
      <c r="BP43" s="452"/>
      <c r="BQ43" s="451"/>
      <c r="BR43" s="781"/>
      <c r="BS43" s="781"/>
      <c r="BT43" s="781"/>
      <c r="BU43" s="781"/>
      <c r="BV43" s="781"/>
      <c r="BW43" s="781"/>
      <c r="BX43" s="781"/>
      <c r="BY43" s="781"/>
      <c r="BZ43" s="781"/>
      <c r="CA43" s="781"/>
      <c r="CB43" s="781"/>
    </row>
    <row r="44" spans="1:80" ht="13.5">
      <c r="A44" s="257">
        <v>9</v>
      </c>
      <c r="B44" s="465"/>
      <c r="C44" s="112"/>
      <c r="D44" s="454"/>
      <c r="E44" s="112"/>
      <c r="F44" s="455"/>
      <c r="G44" s="112"/>
      <c r="H44" s="456"/>
      <c r="I44" s="455"/>
      <c r="J44" s="112"/>
      <c r="K44" s="456"/>
      <c r="L44" s="454"/>
      <c r="M44" s="456"/>
      <c r="N44" s="455"/>
      <c r="O44" s="455"/>
      <c r="P44" s="249">
        <v>9</v>
      </c>
      <c r="Q44" s="455"/>
      <c r="R44" s="455"/>
      <c r="S44" s="455"/>
      <c r="T44" s="455"/>
      <c r="U44" s="455"/>
      <c r="V44" s="455"/>
      <c r="W44" s="455"/>
      <c r="X44" s="455"/>
      <c r="Y44" s="455"/>
      <c r="Z44" s="787"/>
      <c r="AA44" s="791"/>
      <c r="AB44" s="454"/>
      <c r="AC44" s="456"/>
      <c r="AD44" s="456"/>
      <c r="AE44" s="456"/>
      <c r="AF44" s="456"/>
      <c r="AG44" s="456"/>
      <c r="AH44" s="456"/>
      <c r="AI44" s="456"/>
      <c r="AJ44" s="795"/>
      <c r="AK44" s="795"/>
      <c r="AL44" s="795"/>
      <c r="AM44" s="249">
        <v>9</v>
      </c>
      <c r="AN44" s="455"/>
      <c r="AO44" s="455"/>
      <c r="AP44" s="112"/>
      <c r="AQ44" s="455"/>
      <c r="AR44" s="112"/>
      <c r="AS44" s="455"/>
      <c r="AT44" s="782"/>
      <c r="AU44" s="782"/>
      <c r="AV44" s="455"/>
      <c r="AW44" s="455"/>
      <c r="AX44" s="455"/>
      <c r="AY44" s="455"/>
      <c r="AZ44" s="455"/>
      <c r="BA44" s="455"/>
      <c r="BB44" s="455"/>
      <c r="BC44" s="781"/>
      <c r="BD44" s="781"/>
      <c r="BE44" s="455"/>
      <c r="BF44" s="455"/>
      <c r="BG44" s="455"/>
      <c r="BH44" s="456"/>
      <c r="BI44" s="249">
        <v>9</v>
      </c>
      <c r="BJ44" s="457"/>
      <c r="BK44" s="455"/>
      <c r="BL44" s="456"/>
      <c r="BM44" s="455"/>
      <c r="BN44" s="112"/>
      <c r="BO44" s="455"/>
      <c r="BP44" s="456"/>
      <c r="BQ44" s="455"/>
      <c r="BR44" s="782"/>
      <c r="BS44" s="782"/>
      <c r="BT44" s="782"/>
      <c r="BU44" s="782"/>
      <c r="BV44" s="782"/>
      <c r="BW44" s="782"/>
      <c r="BX44" s="782"/>
      <c r="BY44" s="782"/>
      <c r="BZ44" s="782"/>
      <c r="CA44" s="782"/>
      <c r="CB44" s="782"/>
    </row>
    <row r="45" spans="1:80" ht="14.25" thickBot="1">
      <c r="A45" s="458">
        <v>10</v>
      </c>
      <c r="B45" s="459"/>
      <c r="C45" s="460"/>
      <c r="D45" s="461"/>
      <c r="E45" s="460"/>
      <c r="F45" s="462"/>
      <c r="G45" s="460"/>
      <c r="H45" s="463"/>
      <c r="I45" s="462"/>
      <c r="J45" s="460"/>
      <c r="K45" s="463"/>
      <c r="L45" s="461"/>
      <c r="M45" s="463"/>
      <c r="N45" s="462"/>
      <c r="O45" s="462"/>
      <c r="P45" s="458">
        <v>10</v>
      </c>
      <c r="Q45" s="462"/>
      <c r="R45" s="462"/>
      <c r="S45" s="462"/>
      <c r="T45" s="462"/>
      <c r="U45" s="462"/>
      <c r="V45" s="462"/>
      <c r="W45" s="462"/>
      <c r="X45" s="462"/>
      <c r="Y45" s="462"/>
      <c r="Z45" s="789"/>
      <c r="AA45" s="792"/>
      <c r="AB45" s="461"/>
      <c r="AC45" s="463"/>
      <c r="AD45" s="463"/>
      <c r="AE45" s="463"/>
      <c r="AF45" s="463"/>
      <c r="AG45" s="463"/>
      <c r="AH45" s="463"/>
      <c r="AI45" s="463"/>
      <c r="AJ45" s="796"/>
      <c r="AK45" s="796"/>
      <c r="AL45" s="796"/>
      <c r="AM45" s="458">
        <v>10</v>
      </c>
      <c r="AN45" s="462"/>
      <c r="AO45" s="462"/>
      <c r="AP45" s="460"/>
      <c r="AQ45" s="462"/>
      <c r="AR45" s="460"/>
      <c r="AS45" s="462"/>
      <c r="AT45" s="783"/>
      <c r="AU45" s="783"/>
      <c r="AV45" s="462"/>
      <c r="AW45" s="462"/>
      <c r="AX45" s="462"/>
      <c r="AY45" s="462"/>
      <c r="AZ45" s="462"/>
      <c r="BA45" s="462"/>
      <c r="BB45" s="462"/>
      <c r="BC45" s="781"/>
      <c r="BD45" s="781"/>
      <c r="BE45" s="462"/>
      <c r="BF45" s="462"/>
      <c r="BG45" s="462"/>
      <c r="BH45" s="463"/>
      <c r="BI45" s="458">
        <v>10</v>
      </c>
      <c r="BJ45" s="464"/>
      <c r="BK45" s="462"/>
      <c r="BL45" s="463"/>
      <c r="BM45" s="462"/>
      <c r="BN45" s="460"/>
      <c r="BO45" s="462"/>
      <c r="BP45" s="463"/>
      <c r="BQ45" s="462"/>
      <c r="BR45" s="783"/>
      <c r="BS45" s="783"/>
      <c r="BT45" s="783"/>
      <c r="BU45" s="783"/>
      <c r="BV45" s="783"/>
      <c r="BW45" s="783"/>
      <c r="BX45" s="783"/>
      <c r="BY45" s="783"/>
      <c r="BZ45" s="783"/>
      <c r="CA45" s="783"/>
      <c r="CB45" s="783"/>
    </row>
    <row r="46" spans="1:80" ht="14.25" thickTop="1">
      <c r="A46" s="396">
        <v>11</v>
      </c>
      <c r="B46" s="397"/>
      <c r="C46" s="269"/>
      <c r="D46" s="303"/>
      <c r="E46" s="269"/>
      <c r="F46" s="28"/>
      <c r="G46" s="269"/>
      <c r="H46" s="29"/>
      <c r="I46" s="28"/>
      <c r="J46" s="269"/>
      <c r="K46" s="29"/>
      <c r="L46" s="303"/>
      <c r="M46" s="29"/>
      <c r="N46" s="28"/>
      <c r="O46" s="28"/>
      <c r="P46" s="396">
        <v>11</v>
      </c>
      <c r="Q46" s="28"/>
      <c r="R46" s="28"/>
      <c r="S46" s="28"/>
      <c r="T46" s="28"/>
      <c r="U46" s="28"/>
      <c r="V46" s="28"/>
      <c r="W46" s="28"/>
      <c r="X46" s="28"/>
      <c r="Y46" s="787"/>
      <c r="Z46" s="788"/>
      <c r="AA46" s="788"/>
      <c r="AB46" s="303"/>
      <c r="AC46" s="29"/>
      <c r="AD46" s="29"/>
      <c r="AE46" s="29"/>
      <c r="AF46" s="29"/>
      <c r="AG46" s="29"/>
      <c r="AH46" s="29"/>
      <c r="AI46" s="29"/>
      <c r="AJ46" s="83"/>
      <c r="AK46" s="83"/>
      <c r="AL46" s="83"/>
      <c r="AM46" s="396">
        <v>11</v>
      </c>
      <c r="AN46" s="28"/>
      <c r="AO46" s="28"/>
      <c r="AP46" s="269"/>
      <c r="AQ46" s="28"/>
      <c r="AR46" s="269"/>
      <c r="AS46" s="28"/>
      <c r="AT46" s="767"/>
      <c r="AU46" s="767"/>
      <c r="AV46" s="28"/>
      <c r="AW46" s="28"/>
      <c r="AX46" s="28"/>
      <c r="AY46" s="28"/>
      <c r="AZ46" s="28"/>
      <c r="BA46" s="28"/>
      <c r="BB46" s="28"/>
      <c r="BC46" s="782"/>
      <c r="BD46" s="782"/>
      <c r="BE46" s="28"/>
      <c r="BF46" s="28"/>
      <c r="BG46" s="28"/>
      <c r="BH46" s="29"/>
      <c r="BI46" s="396">
        <v>11</v>
      </c>
      <c r="BJ46" s="432"/>
      <c r="BK46" s="28"/>
      <c r="BL46" s="29"/>
      <c r="BM46" s="28"/>
      <c r="BN46" s="269"/>
      <c r="BO46" s="28"/>
      <c r="BP46" s="29"/>
      <c r="BQ46" s="28"/>
      <c r="BR46" s="767"/>
      <c r="BS46" s="767"/>
      <c r="BT46" s="767"/>
      <c r="BU46" s="767"/>
      <c r="BV46" s="767"/>
      <c r="BW46" s="767"/>
      <c r="BX46" s="767"/>
      <c r="BY46" s="767"/>
      <c r="BZ46" s="767"/>
      <c r="CA46" s="767"/>
      <c r="CB46" s="767"/>
    </row>
    <row r="47" spans="1:80" ht="13.5">
      <c r="A47" s="257">
        <v>12</v>
      </c>
      <c r="B47" s="376"/>
      <c r="C47" s="449"/>
      <c r="D47" s="450"/>
      <c r="E47" s="449"/>
      <c r="F47" s="451"/>
      <c r="G47" s="449"/>
      <c r="H47" s="452"/>
      <c r="I47" s="451"/>
      <c r="J47" s="449"/>
      <c r="K47" s="452"/>
      <c r="L47" s="450"/>
      <c r="M47" s="452"/>
      <c r="N47" s="451"/>
      <c r="O47" s="451"/>
      <c r="P47" s="257">
        <v>12</v>
      </c>
      <c r="Q47" s="451"/>
      <c r="R47" s="451"/>
      <c r="S47" s="451"/>
      <c r="T47" s="451"/>
      <c r="U47" s="451"/>
      <c r="V47" s="451"/>
      <c r="W47" s="451"/>
      <c r="X47" s="451"/>
      <c r="Y47" s="787"/>
      <c r="Z47" s="787"/>
      <c r="AA47" s="787"/>
      <c r="AB47" s="450"/>
      <c r="AC47" s="452"/>
      <c r="AD47" s="452"/>
      <c r="AE47" s="452"/>
      <c r="AF47" s="452"/>
      <c r="AG47" s="452"/>
      <c r="AH47" s="452"/>
      <c r="AI47" s="452"/>
      <c r="AJ47" s="794"/>
      <c r="AK47" s="794"/>
      <c r="AL47" s="794"/>
      <c r="AM47" s="257">
        <v>12</v>
      </c>
      <c r="AN47" s="451"/>
      <c r="AO47" s="451"/>
      <c r="AP47" s="449"/>
      <c r="AQ47" s="451"/>
      <c r="AR47" s="449"/>
      <c r="AS47" s="451"/>
      <c r="AT47" s="781"/>
      <c r="AU47" s="781"/>
      <c r="AV47" s="451"/>
      <c r="AW47" s="451"/>
      <c r="AX47" s="451"/>
      <c r="AY47" s="451"/>
      <c r="AZ47" s="451"/>
      <c r="BA47" s="451"/>
      <c r="BB47" s="451"/>
      <c r="BC47" s="782"/>
      <c r="BD47" s="782"/>
      <c r="BE47" s="451"/>
      <c r="BF47" s="451"/>
      <c r="BG47" s="451"/>
      <c r="BH47" s="452"/>
      <c r="BI47" s="257">
        <v>12</v>
      </c>
      <c r="BJ47" s="453"/>
      <c r="BK47" s="451"/>
      <c r="BL47" s="452"/>
      <c r="BM47" s="451"/>
      <c r="BN47" s="449"/>
      <c r="BO47" s="451"/>
      <c r="BP47" s="452"/>
      <c r="BQ47" s="451"/>
      <c r="BR47" s="781"/>
      <c r="BS47" s="781"/>
      <c r="BT47" s="781"/>
      <c r="BU47" s="781"/>
      <c r="BV47" s="781"/>
      <c r="BW47" s="781"/>
      <c r="BX47" s="781"/>
      <c r="BY47" s="781"/>
      <c r="BZ47" s="781"/>
      <c r="CA47" s="781"/>
      <c r="CB47" s="781"/>
    </row>
    <row r="48" spans="1:80" ht="13.5">
      <c r="A48" s="257">
        <v>13</v>
      </c>
      <c r="B48" s="376"/>
      <c r="C48" s="449"/>
      <c r="D48" s="450"/>
      <c r="E48" s="449"/>
      <c r="F48" s="451"/>
      <c r="G48" s="449"/>
      <c r="H48" s="452"/>
      <c r="I48" s="451"/>
      <c r="J48" s="449"/>
      <c r="K48" s="452"/>
      <c r="L48" s="450"/>
      <c r="M48" s="452"/>
      <c r="N48" s="451"/>
      <c r="O48" s="451"/>
      <c r="P48" s="257">
        <v>13</v>
      </c>
      <c r="Q48" s="451"/>
      <c r="R48" s="451"/>
      <c r="S48" s="451"/>
      <c r="T48" s="451"/>
      <c r="U48" s="451"/>
      <c r="V48" s="451"/>
      <c r="W48" s="451"/>
      <c r="X48" s="451"/>
      <c r="Y48" s="787"/>
      <c r="Z48" s="787"/>
      <c r="AA48" s="787"/>
      <c r="AB48" s="450"/>
      <c r="AC48" s="452"/>
      <c r="AD48" s="452"/>
      <c r="AE48" s="452"/>
      <c r="AF48" s="452"/>
      <c r="AG48" s="452"/>
      <c r="AH48" s="452"/>
      <c r="AI48" s="452"/>
      <c r="AJ48" s="794"/>
      <c r="AK48" s="794"/>
      <c r="AL48" s="794"/>
      <c r="AM48" s="257">
        <v>13</v>
      </c>
      <c r="AN48" s="451"/>
      <c r="AO48" s="451"/>
      <c r="AP48" s="449"/>
      <c r="AQ48" s="451"/>
      <c r="AR48" s="449"/>
      <c r="AS48" s="451"/>
      <c r="AT48" s="781"/>
      <c r="AU48" s="781"/>
      <c r="AV48" s="451"/>
      <c r="AW48" s="451"/>
      <c r="AX48" s="451"/>
      <c r="AY48" s="451"/>
      <c r="AZ48" s="451"/>
      <c r="BA48" s="451"/>
      <c r="BB48" s="451"/>
      <c r="BC48" s="781"/>
      <c r="BD48" s="781"/>
      <c r="BE48" s="451"/>
      <c r="BF48" s="451"/>
      <c r="BG48" s="451"/>
      <c r="BH48" s="452"/>
      <c r="BI48" s="257">
        <v>13</v>
      </c>
      <c r="BJ48" s="453"/>
      <c r="BK48" s="451"/>
      <c r="BL48" s="452"/>
      <c r="BM48" s="451"/>
      <c r="BN48" s="449"/>
      <c r="BO48" s="451"/>
      <c r="BP48" s="452"/>
      <c r="BQ48" s="451"/>
      <c r="BR48" s="781"/>
      <c r="BS48" s="781"/>
      <c r="BT48" s="781"/>
      <c r="BU48" s="781"/>
      <c r="BV48" s="781"/>
      <c r="BW48" s="781"/>
      <c r="BX48" s="781"/>
      <c r="BY48" s="781"/>
      <c r="BZ48" s="781"/>
      <c r="CA48" s="781"/>
      <c r="CB48" s="781"/>
    </row>
    <row r="49" spans="1:80" ht="13.5">
      <c r="A49" s="249">
        <v>14</v>
      </c>
      <c r="B49" s="409"/>
      <c r="C49" s="112"/>
      <c r="D49" s="454"/>
      <c r="E49" s="112"/>
      <c r="F49" s="455"/>
      <c r="G49" s="112"/>
      <c r="H49" s="456"/>
      <c r="I49" s="455"/>
      <c r="J49" s="112"/>
      <c r="K49" s="456"/>
      <c r="L49" s="454"/>
      <c r="M49" s="456"/>
      <c r="N49" s="455"/>
      <c r="O49" s="455"/>
      <c r="P49" s="249">
        <v>14</v>
      </c>
      <c r="Q49" s="455"/>
      <c r="R49" s="455"/>
      <c r="S49" s="455"/>
      <c r="T49" s="455"/>
      <c r="U49" s="455"/>
      <c r="V49" s="455"/>
      <c r="W49" s="455"/>
      <c r="X49" s="455"/>
      <c r="Y49" s="787"/>
      <c r="Z49" s="787"/>
      <c r="AA49" s="787"/>
      <c r="AB49" s="454"/>
      <c r="AC49" s="456"/>
      <c r="AD49" s="456"/>
      <c r="AE49" s="456"/>
      <c r="AF49" s="456"/>
      <c r="AG49" s="456"/>
      <c r="AH49" s="456"/>
      <c r="AI49" s="456"/>
      <c r="AJ49" s="795"/>
      <c r="AK49" s="795"/>
      <c r="AL49" s="795"/>
      <c r="AM49" s="249">
        <v>14</v>
      </c>
      <c r="AN49" s="455"/>
      <c r="AO49" s="455"/>
      <c r="AP49" s="112"/>
      <c r="AQ49" s="455"/>
      <c r="AR49" s="112"/>
      <c r="AS49" s="455"/>
      <c r="AT49" s="782"/>
      <c r="AU49" s="782"/>
      <c r="AV49" s="455"/>
      <c r="AW49" s="455"/>
      <c r="AX49" s="455"/>
      <c r="AY49" s="455"/>
      <c r="AZ49" s="455"/>
      <c r="BA49" s="455"/>
      <c r="BB49" s="455"/>
      <c r="BC49" s="781"/>
      <c r="BD49" s="781"/>
      <c r="BE49" s="455"/>
      <c r="BF49" s="455"/>
      <c r="BG49" s="455"/>
      <c r="BH49" s="456"/>
      <c r="BI49" s="249">
        <v>14</v>
      </c>
      <c r="BJ49" s="457"/>
      <c r="BK49" s="455"/>
      <c r="BL49" s="456"/>
      <c r="BM49" s="455"/>
      <c r="BN49" s="112"/>
      <c r="BO49" s="455"/>
      <c r="BP49" s="456"/>
      <c r="BQ49" s="455"/>
      <c r="BR49" s="782"/>
      <c r="BS49" s="782"/>
      <c r="BT49" s="782"/>
      <c r="BU49" s="782"/>
      <c r="BV49" s="782"/>
      <c r="BW49" s="782"/>
      <c r="BX49" s="782"/>
      <c r="BY49" s="782"/>
      <c r="BZ49" s="782"/>
      <c r="CA49" s="782"/>
      <c r="CB49" s="782"/>
    </row>
    <row r="50" spans="1:80" ht="14.25" thickBot="1">
      <c r="A50" s="249">
        <v>15</v>
      </c>
      <c r="B50" s="409"/>
      <c r="C50" s="112"/>
      <c r="D50" s="454"/>
      <c r="E50" s="112"/>
      <c r="F50" s="455"/>
      <c r="G50" s="112"/>
      <c r="H50" s="456"/>
      <c r="I50" s="455"/>
      <c r="J50" s="112"/>
      <c r="K50" s="456"/>
      <c r="L50" s="454"/>
      <c r="M50" s="456"/>
      <c r="N50" s="455"/>
      <c r="O50" s="455"/>
      <c r="P50" s="249">
        <v>15</v>
      </c>
      <c r="Q50" s="455"/>
      <c r="R50" s="455"/>
      <c r="S50" s="455"/>
      <c r="T50" s="455"/>
      <c r="U50" s="455"/>
      <c r="V50" s="455"/>
      <c r="W50" s="455"/>
      <c r="X50" s="455"/>
      <c r="Y50" s="787"/>
      <c r="Z50" s="787"/>
      <c r="AA50" s="787"/>
      <c r="AB50" s="454"/>
      <c r="AC50" s="456"/>
      <c r="AD50" s="456"/>
      <c r="AE50" s="456"/>
      <c r="AF50" s="456"/>
      <c r="AG50" s="456"/>
      <c r="AH50" s="456"/>
      <c r="AI50" s="456"/>
      <c r="AJ50" s="795"/>
      <c r="AK50" s="795"/>
      <c r="AL50" s="795"/>
      <c r="AM50" s="249">
        <v>15</v>
      </c>
      <c r="AN50" s="455"/>
      <c r="AO50" s="455"/>
      <c r="AP50" s="112"/>
      <c r="AQ50" s="455"/>
      <c r="AR50" s="112"/>
      <c r="AS50" s="455"/>
      <c r="AT50" s="783"/>
      <c r="AU50" s="783"/>
      <c r="AV50" s="455"/>
      <c r="AW50" s="455"/>
      <c r="AX50" s="455"/>
      <c r="AY50" s="455"/>
      <c r="AZ50" s="455"/>
      <c r="BA50" s="455"/>
      <c r="BB50" s="455"/>
      <c r="BC50" s="782"/>
      <c r="BD50" s="782"/>
      <c r="BE50" s="455"/>
      <c r="BF50" s="455"/>
      <c r="BG50" s="455"/>
      <c r="BH50" s="456"/>
      <c r="BI50" s="249">
        <v>15</v>
      </c>
      <c r="BJ50" s="457"/>
      <c r="BK50" s="455"/>
      <c r="BL50" s="456"/>
      <c r="BM50" s="455"/>
      <c r="BN50" s="112"/>
      <c r="BO50" s="455"/>
      <c r="BP50" s="456"/>
      <c r="BQ50" s="455"/>
      <c r="BR50" s="782"/>
      <c r="BS50" s="782"/>
      <c r="BT50" s="782"/>
      <c r="BU50" s="782"/>
      <c r="BV50" s="782"/>
      <c r="BW50" s="782"/>
      <c r="BX50" s="782"/>
      <c r="BY50" s="782"/>
      <c r="BZ50" s="782"/>
      <c r="CA50" s="782"/>
      <c r="CB50" s="782"/>
    </row>
    <row r="51" spans="1:80" ht="13.5" thickTop="1">
      <c r="Y51" s="787"/>
      <c r="Z51" s="787"/>
    </row>
    <row r="52" spans="1:80">
      <c r="Y52" s="787"/>
      <c r="Z52" s="787"/>
    </row>
  </sheetData>
  <customSheetViews>
    <customSheetView guid="{9C153D9E-615C-443B-9CD7-551163282F03}" scale="160" showPageBreaks="1" printArea="1" view="pageBreakPreview" topLeftCell="AE3">
      <selection activeCell="AK4" sqref="AK4:AK10"/>
      <colBreaks count="3" manualBreakCount="3">
        <brk id="15" max="39" man="1"/>
        <brk id="34" max="39" man="1"/>
        <brk id="48" max="39" man="1"/>
      </colBreaks>
      <pageMargins left="0" right="0" top="0" bottom="0" header="0" footer="0"/>
      <pageSetup firstPageNumber="10" orientation="landscape" r:id="rId1"/>
      <headerFooter>
        <oddFooter>&amp;C&amp;P</oddFooter>
      </headerFooter>
    </customSheetView>
    <customSheetView guid="{BE9F68F7-D81B-4526-9959-D871EC50BDFF}" scale="160" showPageBreaks="1" printArea="1" view="pageBreakPreview" topLeftCell="AZ4">
      <selection activeCell="AY15" sqref="AY15"/>
      <colBreaks count="3" manualBreakCount="3">
        <brk id="15" max="39" man="1"/>
        <brk id="34" max="39" man="1"/>
        <brk id="48" max="39" man="1"/>
      </colBreaks>
      <pageMargins left="0" right="0" top="0" bottom="0" header="0" footer="0"/>
      <pageSetup firstPageNumber="10" orientation="landscape" r:id="rId2"/>
      <headerFooter>
        <oddFooter>&amp;C&amp;P</oddFooter>
      </headerFooter>
    </customSheetView>
    <customSheetView guid="{EF790C5B-80DA-4544-9EB7-EFE0323B2298}" scale="160" showPageBreaks="1" printArea="1" view="pageBreakPreview" topLeftCell="AA1">
      <selection activeCell="AY13" sqref="AY13"/>
      <colBreaks count="3" manualBreakCount="3">
        <brk id="15" max="39" man="1"/>
        <brk id="34" max="39" man="1"/>
        <brk id="48" max="39" man="1"/>
      </colBreaks>
      <pageMargins left="0" right="0" top="0" bottom="0" header="0" footer="0"/>
      <pageSetup firstPageNumber="10" orientation="landscape" r:id="rId3"/>
      <headerFooter>
        <oddFooter>&amp;C&amp;P</oddFooter>
      </headerFooter>
    </customSheetView>
    <customSheetView guid="{C9D2DBB1-CD01-4732-8C86-64BE16C94753}" scale="120" showPageBreaks="1" printArea="1" view="pageBreakPreview">
      <selection activeCell="A4" sqref="A4:A25"/>
      <colBreaks count="3" manualBreakCount="3">
        <brk id="15" max="39" man="1"/>
        <brk id="34" max="39" man="1"/>
        <brk id="48" max="39" man="1"/>
      </colBreaks>
      <pageMargins left="0" right="0" top="0" bottom="0" header="0" footer="0"/>
      <pageSetup firstPageNumber="10" orientation="landscape" r:id="rId4"/>
      <headerFooter>
        <oddFooter>&amp;C&amp;P</oddFooter>
      </headerFooter>
    </customSheetView>
    <customSheetView guid="{BFEC163F-7C4E-49B7-9F32-15225772E72F}" scale="120" showPageBreaks="1" printArea="1" view="pageBreakPreview" topLeftCell="AW1">
      <selection activeCell="AV16" sqref="AV16"/>
      <colBreaks count="3" manualBreakCount="3">
        <brk id="15" max="39" man="1"/>
        <brk id="34" max="39" man="1"/>
        <brk id="48" max="39" man="1"/>
      </colBreaks>
      <pageMargins left="0" right="0" top="0" bottom="0" header="0" footer="0"/>
      <pageSetup firstPageNumber="10" orientation="landscape" r:id="rId5"/>
      <headerFooter>
        <oddFooter>&amp;C&amp;P</oddFooter>
      </headerFooter>
    </customSheetView>
    <customSheetView guid="{5529DB6B-163A-4048-9107-267B30B97DF3}" scale="120" showPageBreaks="1" printArea="1" view="pageBreakPreview" topLeftCell="AW1">
      <selection activeCell="AV16" sqref="AV16"/>
      <colBreaks count="3" manualBreakCount="3">
        <brk id="15" max="39" man="1"/>
        <brk id="34" max="39" man="1"/>
        <brk id="48" max="39" man="1"/>
      </colBreaks>
      <pageMargins left="0" right="0" top="0" bottom="0" header="0" footer="0"/>
      <pageSetup firstPageNumber="10" orientation="landscape" r:id="rId6"/>
      <headerFooter>
        <oddFooter>&amp;C&amp;P</oddFooter>
      </headerFooter>
    </customSheetView>
    <customSheetView guid="{9B0763AA-FA4B-479A-900C-C113E8BEEFEB}" scale="120" showPageBreaks="1" printArea="1" view="pageBreakPreview" topLeftCell="AW1">
      <selection activeCell="AY15" sqref="AY15"/>
      <colBreaks count="3" manualBreakCount="3">
        <brk id="15" max="39" man="1"/>
        <brk id="34" max="39" man="1"/>
        <brk id="48" max="39" man="1"/>
      </colBreaks>
      <pageMargins left="0" right="0" top="0" bottom="0" header="0" footer="0"/>
      <pageSetup firstPageNumber="10" orientation="landscape" r:id="rId7"/>
      <headerFooter>
        <oddFooter>&amp;C&amp;P</oddFooter>
      </headerFooter>
    </customSheetView>
    <customSheetView guid="{89903799-8228-4A6D-8A81-7F80BC61226D}" scale="160" showPageBreaks="1" printArea="1" view="pageBreakPreview" topLeftCell="AV4">
      <selection activeCell="AZ15" sqref="AZ15:AZ16"/>
      <colBreaks count="3" manualBreakCount="3">
        <brk id="15" max="39" man="1"/>
        <brk id="34" max="39" man="1"/>
        <brk id="48" max="39" man="1"/>
      </colBreaks>
      <pageMargins left="0" right="0" top="0" bottom="0" header="0" footer="0"/>
      <pageSetup firstPageNumber="10" orientation="landscape" r:id="rId8"/>
      <headerFooter>
        <oddFooter>&amp;C&amp;P</oddFooter>
      </headerFooter>
    </customSheetView>
    <customSheetView guid="{2524630E-605A-4616-AD5D-6CF7B1E9752C}" scale="160" showPageBreaks="1" printArea="1" view="pageBreakPreview" topLeftCell="AA1">
      <selection activeCell="AY13" sqref="AY13"/>
      <colBreaks count="3" manualBreakCount="3">
        <brk id="15" max="39" man="1"/>
        <brk id="34" max="39" man="1"/>
        <brk id="48" max="39" man="1"/>
      </colBreaks>
      <pageMargins left="0" right="0" top="0" bottom="0" header="0" footer="0"/>
      <pageSetup firstPageNumber="10" orientation="landscape" r:id="rId9"/>
      <headerFooter>
        <oddFooter>&amp;C&amp;P</oddFooter>
      </headerFooter>
    </customSheetView>
  </customSheetViews>
  <mergeCells count="200">
    <mergeCell ref="BW20:BW21"/>
    <mergeCell ref="BY20:BY21"/>
    <mergeCell ref="BV5:BV13"/>
    <mergeCell ref="BW5:BW13"/>
    <mergeCell ref="BX5:BX13"/>
    <mergeCell ref="BY5:BY13"/>
    <mergeCell ref="CA5:CA19"/>
    <mergeCell ref="CA21:CA23"/>
    <mergeCell ref="BU5:BU15"/>
    <mergeCell ref="AN5:AN28"/>
    <mergeCell ref="AY5:AY25"/>
    <mergeCell ref="BA34:BA35"/>
    <mergeCell ref="AW34:AW35"/>
    <mergeCell ref="CB5:CB13"/>
    <mergeCell ref="BU16:BU17"/>
    <mergeCell ref="BV14:BV15"/>
    <mergeCell ref="BW14:BW15"/>
    <mergeCell ref="BY14:BY15"/>
    <mergeCell ref="CB14:CB24"/>
    <mergeCell ref="BU18:BU19"/>
    <mergeCell ref="BV16:BV17"/>
    <mergeCell ref="BW16:BW19"/>
    <mergeCell ref="BY16:BY17"/>
    <mergeCell ref="BV18:BV19"/>
    <mergeCell ref="BY18:BY19"/>
    <mergeCell ref="BU20:BU21"/>
    <mergeCell ref="BV20:BV21"/>
    <mergeCell ref="BV34:BV35"/>
    <mergeCell ref="BY34:BY35"/>
    <mergeCell ref="AY29:AY30"/>
    <mergeCell ref="AT5:AT9"/>
    <mergeCell ref="AU5:AU9"/>
    <mergeCell ref="AU34:AU35"/>
    <mergeCell ref="AJ5:AJ17"/>
    <mergeCell ref="AK5:AK17"/>
    <mergeCell ref="AL5:AL17"/>
    <mergeCell ref="AJ34:AJ35"/>
    <mergeCell ref="AK34:AK35"/>
    <mergeCell ref="AL34:AL35"/>
    <mergeCell ref="AJ25:AJ33"/>
    <mergeCell ref="AK25:AK33"/>
    <mergeCell ref="AL25:AL33"/>
    <mergeCell ref="BD34:BD35"/>
    <mergeCell ref="BB34:BB35"/>
    <mergeCell ref="AX28:AX30"/>
    <mergeCell ref="BQ5:BQ13"/>
    <mergeCell ref="BK18:BK19"/>
    <mergeCell ref="BK21:BK22"/>
    <mergeCell ref="BK16:BK17"/>
    <mergeCell ref="BM5:BM16"/>
    <mergeCell ref="BM24:BM26"/>
    <mergeCell ref="BM19:BM23"/>
    <mergeCell ref="BK24:BK26"/>
    <mergeCell ref="BK10:BK11"/>
    <mergeCell ref="BK13:BK15"/>
    <mergeCell ref="BL5:BL10"/>
    <mergeCell ref="BK5:BK6"/>
    <mergeCell ref="BO28:BO29"/>
    <mergeCell ref="BT24:BT25"/>
    <mergeCell ref="D5:E6"/>
    <mergeCell ref="D8:E31"/>
    <mergeCell ref="J9:K28"/>
    <mergeCell ref="C28:C29"/>
    <mergeCell ref="F27:F28"/>
    <mergeCell ref="BI4:BI35"/>
    <mergeCell ref="BA5:BA9"/>
    <mergeCell ref="BB5:BB9"/>
    <mergeCell ref="AV5:AV28"/>
    <mergeCell ref="BH5:BH9"/>
    <mergeCell ref="N5:N9"/>
    <mergeCell ref="V12:V35"/>
    <mergeCell ref="AZ34:AZ35"/>
    <mergeCell ref="S12:S35"/>
    <mergeCell ref="AX34:AX35"/>
    <mergeCell ref="AW5:AW12"/>
    <mergeCell ref="F5:F24"/>
    <mergeCell ref="AF34:AF35"/>
    <mergeCell ref="R12:R35"/>
    <mergeCell ref="BE12:BE13"/>
    <mergeCell ref="AW25:AW28"/>
    <mergeCell ref="BF34:BF35"/>
    <mergeCell ref="BQ24:BQ25"/>
    <mergeCell ref="BS28:BS29"/>
    <mergeCell ref="BS30:BS31"/>
    <mergeCell ref="BQ28:BQ29"/>
    <mergeCell ref="BQ30:BQ31"/>
    <mergeCell ref="BR26:BR27"/>
    <mergeCell ref="BP24:BP25"/>
    <mergeCell ref="BP26:BP27"/>
    <mergeCell ref="BP30:BP31"/>
    <mergeCell ref="BR28:BR29"/>
    <mergeCell ref="O5:O12"/>
    <mergeCell ref="AE25:AE28"/>
    <mergeCell ref="AI25:AI28"/>
    <mergeCell ref="AI5:AI24"/>
    <mergeCell ref="AG34:AG35"/>
    <mergeCell ref="AE5:AE24"/>
    <mergeCell ref="AE34:AE35"/>
    <mergeCell ref="AG25:AG28"/>
    <mergeCell ref="AH25:AH28"/>
    <mergeCell ref="AG5:AG24"/>
    <mergeCell ref="AH5:AH24"/>
    <mergeCell ref="AH34:AH35"/>
    <mergeCell ref="AF5:AF24"/>
    <mergeCell ref="AF25:AF28"/>
    <mergeCell ref="U12:U35"/>
    <mergeCell ref="X12:X35"/>
    <mergeCell ref="Z12:Z35"/>
    <mergeCell ref="AA12:AA35"/>
    <mergeCell ref="A4:A35"/>
    <mergeCell ref="G4:H4"/>
    <mergeCell ref="J4:K4"/>
    <mergeCell ref="L4:M4"/>
    <mergeCell ref="D35:E35"/>
    <mergeCell ref="J5:K7"/>
    <mergeCell ref="I5:I28"/>
    <mergeCell ref="AI34:AI35"/>
    <mergeCell ref="J29:K29"/>
    <mergeCell ref="Q8:Y9"/>
    <mergeCell ref="L35:M35"/>
    <mergeCell ref="Q12:Q35"/>
    <mergeCell ref="Q5:Y7"/>
    <mergeCell ref="B5:B35"/>
    <mergeCell ref="C5:C25"/>
    <mergeCell ref="Q4:R4"/>
    <mergeCell ref="G35:H35"/>
    <mergeCell ref="L5:M8"/>
    <mergeCell ref="AB4:AC4"/>
    <mergeCell ref="AD5:AD29"/>
    <mergeCell ref="J35:K35"/>
    <mergeCell ref="P4:P35"/>
    <mergeCell ref="H19:H20"/>
    <mergeCell ref="G5:H12"/>
    <mergeCell ref="BS5:BS13"/>
    <mergeCell ref="BT5:BT13"/>
    <mergeCell ref="BR24:BR25"/>
    <mergeCell ref="BQ26:BQ27"/>
    <mergeCell ref="BL25:BL26"/>
    <mergeCell ref="BN5:BN11"/>
    <mergeCell ref="BR5:BR13"/>
    <mergeCell ref="BP33:BP34"/>
    <mergeCell ref="BQ33:BQ34"/>
    <mergeCell ref="BR33:BR34"/>
    <mergeCell ref="BS33:BS34"/>
    <mergeCell ref="BT33:BT34"/>
    <mergeCell ref="BO30:BO31"/>
    <mergeCell ref="BT28:BT29"/>
    <mergeCell ref="BP5:BP13"/>
    <mergeCell ref="BO5:BO13"/>
    <mergeCell ref="BO24:BO25"/>
    <mergeCell ref="BT26:BT27"/>
    <mergeCell ref="BO26:BO27"/>
    <mergeCell ref="BT30:BT31"/>
    <mergeCell ref="BP28:BP29"/>
    <mergeCell ref="BS24:BS25"/>
    <mergeCell ref="BS26:BS27"/>
    <mergeCell ref="BR30:BR31"/>
    <mergeCell ref="AQ5:AQ10"/>
    <mergeCell ref="AQ24:AQ27"/>
    <mergeCell ref="AR5:AR11"/>
    <mergeCell ref="BH12:BH13"/>
    <mergeCell ref="BH24:BH25"/>
    <mergeCell ref="BJ5:BJ13"/>
    <mergeCell ref="AZ5:AZ9"/>
    <mergeCell ref="BG5:BG9"/>
    <mergeCell ref="BF5:BF9"/>
    <mergeCell ref="AZ25:AZ28"/>
    <mergeCell ref="BA25:BA28"/>
    <mergeCell ref="BE5:BE10"/>
    <mergeCell ref="AX5:AX26"/>
    <mergeCell ref="BB25:BB28"/>
    <mergeCell ref="BE25:BE26"/>
    <mergeCell ref="BC5:BC15"/>
    <mergeCell ref="BD5:BD9"/>
    <mergeCell ref="BD15:BD18"/>
    <mergeCell ref="BC19:BC20"/>
    <mergeCell ref="H13:H14"/>
    <mergeCell ref="M19:M20"/>
    <mergeCell ref="M21:M22"/>
    <mergeCell ref="AE30:AE31"/>
    <mergeCell ref="AF30:AF31"/>
    <mergeCell ref="AG30:AG31"/>
    <mergeCell ref="AH30:AH31"/>
    <mergeCell ref="AI30:AI31"/>
    <mergeCell ref="BO33:BO34"/>
    <mergeCell ref="H16:H17"/>
    <mergeCell ref="AM4:AM35"/>
    <mergeCell ref="Y12:Y35"/>
    <mergeCell ref="AB35:AC35"/>
    <mergeCell ref="AB5:AC10"/>
    <mergeCell ref="T12:T35"/>
    <mergeCell ref="W12:W35"/>
    <mergeCell ref="AS5:AS10"/>
    <mergeCell ref="AS24:AS27"/>
    <mergeCell ref="AS34:AS35"/>
    <mergeCell ref="AP5:AP11"/>
    <mergeCell ref="AP12:AP32"/>
    <mergeCell ref="AO24:AO27"/>
    <mergeCell ref="AO5:AO10"/>
    <mergeCell ref="AN31:AN32"/>
  </mergeCells>
  <pageMargins left="0.314" right="0.314" top="0.11799999999999999" bottom="0.27500000000000002" header="0.157" footer="0.11799999999999999"/>
  <pageSetup scale="71" firstPageNumber="10" fitToWidth="0" orientation="landscape" r:id="rId10"/>
  <headerFooter>
    <oddFooter>&amp;C&amp;P</oddFooter>
  </headerFooter>
  <colBreaks count="3" manualBreakCount="3">
    <brk id="27" max="49" man="1"/>
    <brk id="42" max="49" man="1"/>
    <brk id="55" max="49"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S44"/>
  <sheetViews>
    <sheetView showRuler="0" showWhiteSpace="0" view="pageBreakPreview" topLeftCell="L10" zoomScale="120" zoomScaleNormal="100" zoomScaleSheetLayoutView="120" zoomScalePageLayoutView="150" workbookViewId="0">
      <selection activeCell="R23" sqref="R23:R26"/>
    </sheetView>
  </sheetViews>
  <sheetFormatPr defaultColWidth="9.140625" defaultRowHeight="15"/>
  <cols>
    <col min="1" max="1" width="3.5703125" style="470" customWidth="1"/>
    <col min="2" max="2" width="4.5703125" style="180" customWidth="1"/>
    <col min="3" max="3" width="9.7109375" style="471" customWidth="1"/>
    <col min="4" max="4" width="10.85546875" style="813" customWidth="1"/>
    <col min="5" max="6" width="9.7109375" style="813" customWidth="1"/>
    <col min="7" max="8" width="9.7109375" style="471" customWidth="1"/>
    <col min="9" max="9" width="9.7109375" style="813" customWidth="1"/>
    <col min="10" max="10" width="15.7109375" style="180" customWidth="1"/>
    <col min="11" max="12" width="14.7109375" style="180" customWidth="1"/>
    <col min="13" max="13" width="9.7109375" style="180" customWidth="1"/>
    <col min="14" max="14" width="10.85546875" style="470" customWidth="1"/>
    <col min="15" max="15" width="3.5703125" style="470" customWidth="1"/>
    <col min="16" max="16" width="11.7109375" style="180" customWidth="1"/>
    <col min="17" max="17" width="16.28515625" style="180" customWidth="1"/>
    <col min="18" max="18" width="9.7109375" style="180" customWidth="1"/>
    <col min="19" max="20" width="11.28515625" style="180" customWidth="1"/>
    <col min="21" max="21" width="17.5703125" style="180" customWidth="1"/>
    <col min="22" max="22" width="10.28515625" style="180" customWidth="1"/>
    <col min="23" max="23" width="29.5703125" style="180" customWidth="1"/>
    <col min="24" max="24" width="15" style="699" customWidth="1"/>
    <col min="25" max="25" width="18.7109375" style="1" customWidth="1"/>
    <col min="26" max="26" width="12.140625" style="1" customWidth="1"/>
    <col min="27" max="27" width="3.5703125" style="470" customWidth="1"/>
    <col min="28" max="28" width="8.7109375" style="470" customWidth="1"/>
    <col min="29" max="29" width="11.28515625" style="180" customWidth="1"/>
    <col min="30" max="30" width="9.7109375" style="180" customWidth="1"/>
    <col min="31" max="31" width="7.5703125" style="180" customWidth="1"/>
    <col min="32" max="32" width="12.28515625" style="180" customWidth="1"/>
    <col min="33" max="33" width="8.140625" style="1" customWidth="1"/>
    <col min="34" max="40" width="3.7109375" style="180" customWidth="1"/>
    <col min="41" max="41" width="14" style="470" customWidth="1"/>
    <col min="42" max="42" width="8.42578125" style="470" customWidth="1"/>
    <col min="43" max="43" width="10.7109375" style="470" customWidth="1"/>
    <col min="44" max="44" width="12.7109375" style="470" customWidth="1"/>
    <col min="45" max="45" width="10.7109375" style="470" customWidth="1"/>
    <col min="46" max="16384" width="9.140625" style="271"/>
  </cols>
  <sheetData>
    <row r="1" spans="1:45" ht="15.75" customHeight="1">
      <c r="A1" s="120" t="s">
        <v>777</v>
      </c>
      <c r="B1" s="136"/>
      <c r="C1" s="127"/>
      <c r="D1" s="811"/>
      <c r="E1" s="811"/>
      <c r="F1" s="811"/>
      <c r="G1" s="127"/>
      <c r="H1" s="127"/>
      <c r="I1" s="811"/>
      <c r="J1" s="136"/>
      <c r="K1" s="136"/>
      <c r="L1" s="136"/>
      <c r="M1" s="136"/>
      <c r="N1" s="466"/>
      <c r="O1" s="120" t="s">
        <v>777</v>
      </c>
      <c r="P1" s="22"/>
      <c r="Q1" s="467"/>
      <c r="R1" s="136"/>
      <c r="S1" s="136"/>
      <c r="T1" s="22"/>
      <c r="U1" s="136"/>
      <c r="V1" s="22"/>
      <c r="W1" s="467"/>
      <c r="Y1" s="818"/>
      <c r="Z1" s="818"/>
      <c r="AA1" s="120" t="s">
        <v>777</v>
      </c>
      <c r="AB1" s="120"/>
      <c r="AC1" s="136"/>
      <c r="AD1" s="467"/>
      <c r="AE1" s="467"/>
      <c r="AF1" s="136"/>
      <c r="AG1" s="818"/>
      <c r="AH1" s="136"/>
      <c r="AI1" s="136"/>
      <c r="AJ1" s="136"/>
      <c r="AK1" s="136"/>
      <c r="AL1" s="136"/>
      <c r="AM1" s="136"/>
      <c r="AN1" s="136"/>
      <c r="AO1" s="466"/>
      <c r="AP1" s="466"/>
      <c r="AQ1" s="466"/>
      <c r="AR1" s="466"/>
      <c r="AS1" s="466"/>
    </row>
    <row r="2" spans="1:45" ht="15.75" customHeight="1">
      <c r="A2" s="120" t="s">
        <v>778</v>
      </c>
      <c r="B2" s="139"/>
      <c r="C2" s="128"/>
      <c r="D2" s="812"/>
      <c r="E2" s="812"/>
      <c r="F2" s="812"/>
      <c r="G2" s="128"/>
      <c r="H2" s="128"/>
      <c r="I2" s="812"/>
      <c r="J2" s="139"/>
      <c r="K2" s="139"/>
      <c r="L2" s="139"/>
      <c r="M2" s="139"/>
      <c r="N2" s="468"/>
      <c r="O2" s="120" t="s">
        <v>778</v>
      </c>
      <c r="P2" s="22"/>
      <c r="Q2" s="467"/>
      <c r="R2" s="139"/>
      <c r="S2" s="139"/>
      <c r="T2" s="22"/>
      <c r="U2" s="469"/>
      <c r="V2" s="22"/>
      <c r="W2" s="467"/>
      <c r="Y2" s="818"/>
      <c r="Z2" s="818"/>
      <c r="AA2" s="120" t="s">
        <v>778</v>
      </c>
      <c r="AB2" s="120"/>
      <c r="AC2" s="139"/>
      <c r="AD2" s="467"/>
      <c r="AE2" s="467"/>
      <c r="AF2" s="469"/>
      <c r="AG2" s="825"/>
      <c r="AH2" s="469"/>
      <c r="AI2" s="469"/>
      <c r="AJ2" s="469"/>
      <c r="AK2" s="469"/>
      <c r="AL2" s="469"/>
      <c r="AM2" s="469"/>
      <c r="AN2" s="469"/>
      <c r="AO2" s="468"/>
      <c r="AP2" s="468"/>
      <c r="AQ2" s="468"/>
      <c r="AR2" s="468"/>
      <c r="AS2" s="468"/>
    </row>
    <row r="3" spans="1:45" ht="15.75" customHeight="1">
      <c r="Y3" s="819"/>
      <c r="Z3" s="819"/>
    </row>
    <row r="4" spans="1:45" ht="19.5" customHeight="1">
      <c r="A4" s="2193" t="s">
        <v>187</v>
      </c>
      <c r="B4" s="851">
        <v>4</v>
      </c>
      <c r="C4" s="147">
        <f>B4+0.01</f>
        <v>4.01</v>
      </c>
      <c r="D4" s="854" t="str">
        <f>CONCATENATE(C4+0.01, "a")</f>
        <v>4,02a</v>
      </c>
      <c r="E4" s="854" t="str">
        <f>CONCATENATE(C4+0.01, "b")</f>
        <v>4,02b</v>
      </c>
      <c r="F4" s="854">
        <f>C4+0.02</f>
        <v>4.0299999999999994</v>
      </c>
      <c r="G4" s="147">
        <f>F4+0.01</f>
        <v>4.0399999999999991</v>
      </c>
      <c r="H4" s="147">
        <f>G4+0.01</f>
        <v>4.0499999999999989</v>
      </c>
      <c r="I4" s="854" t="str">
        <f>CONCATENATE(H4, "a")</f>
        <v>4,05a</v>
      </c>
      <c r="J4" s="147">
        <f>H4+0.01</f>
        <v>4.0599999999999987</v>
      </c>
      <c r="K4" s="294">
        <f>J4+0.01</f>
        <v>4.0699999999999985</v>
      </c>
      <c r="L4" s="294">
        <f>K4+0.01</f>
        <v>4.0799999999999983</v>
      </c>
      <c r="M4" s="294">
        <f>L4+0.01</f>
        <v>4.0899999999999981</v>
      </c>
      <c r="N4" s="294">
        <f>M4+0.01</f>
        <v>4.0999999999999979</v>
      </c>
      <c r="O4" s="2193" t="s">
        <v>187</v>
      </c>
      <c r="P4" s="294">
        <f>N4+0.01</f>
        <v>4.1099999999999977</v>
      </c>
      <c r="Q4" s="294">
        <f t="shared" ref="Q4:V4" si="0">P4+0.01</f>
        <v>4.1199999999999974</v>
      </c>
      <c r="R4" s="294">
        <f>Q4+0.01</f>
        <v>4.1299999999999972</v>
      </c>
      <c r="S4" s="294">
        <f t="shared" si="0"/>
        <v>4.139999999999997</v>
      </c>
      <c r="T4" s="294">
        <f>S4+0.01</f>
        <v>4.1499999999999968</v>
      </c>
      <c r="U4" s="1392">
        <f t="shared" si="0"/>
        <v>4.1599999999999966</v>
      </c>
      <c r="V4" s="1392">
        <f t="shared" si="0"/>
        <v>4.1699999999999964</v>
      </c>
      <c r="W4" s="1392">
        <f>V4+0.01</f>
        <v>4.1799999999999962</v>
      </c>
      <c r="X4" s="805" t="str">
        <f>CONCATENATE(W4, "a")</f>
        <v>4,18a</v>
      </c>
      <c r="Y4" s="805" t="str">
        <f>CONCATENATE(W4, "b")</f>
        <v>4,18b</v>
      </c>
      <c r="Z4" s="805" t="str">
        <f>CONCATENATE(W4, "c")</f>
        <v>4,18c</v>
      </c>
      <c r="AA4" s="2193" t="s">
        <v>187</v>
      </c>
      <c r="AB4" s="1392">
        <f>W4+0.01</f>
        <v>4.1899999999999959</v>
      </c>
      <c r="AC4" s="1392">
        <f>AB4+0.01</f>
        <v>4.1999999999999957</v>
      </c>
      <c r="AD4" s="294">
        <f>AC4+0.01</f>
        <v>4.2099999999999955</v>
      </c>
      <c r="AE4" s="97">
        <f>AD4+0.01</f>
        <v>4.2199999999999953</v>
      </c>
      <c r="AF4" s="294">
        <f>AE4+0.01</f>
        <v>4.2299999999999951</v>
      </c>
      <c r="AG4" s="1239" t="str">
        <f>CONCATENATE(AF4, "a")</f>
        <v>4,23a</v>
      </c>
      <c r="AH4" s="2440">
        <f>AF4+0.01</f>
        <v>4.2399999999999949</v>
      </c>
      <c r="AI4" s="2441"/>
      <c r="AJ4" s="295"/>
      <c r="AK4" s="295"/>
      <c r="AL4" s="295"/>
      <c r="AM4" s="295"/>
      <c r="AN4" s="1393"/>
      <c r="AO4" s="294">
        <f>AH4+0.01</f>
        <v>4.2499999999999947</v>
      </c>
      <c r="AP4" s="294">
        <f>AO4+0.01</f>
        <v>4.2599999999999945</v>
      </c>
      <c r="AQ4" s="294">
        <f>AP4+0.01</f>
        <v>4.2699999999999942</v>
      </c>
      <c r="AR4" s="2324">
        <f>AQ4+0.01</f>
        <v>4.279999999999994</v>
      </c>
      <c r="AS4" s="2326"/>
    </row>
    <row r="5" spans="1:45" ht="12.75" customHeight="1">
      <c r="A5" s="2194"/>
      <c r="B5" s="2432" t="s">
        <v>779</v>
      </c>
      <c r="C5" s="2172" t="s">
        <v>780</v>
      </c>
      <c r="D5" s="2236" t="s">
        <v>781</v>
      </c>
      <c r="E5" s="2236" t="s">
        <v>782</v>
      </c>
      <c r="F5" s="2236" t="s">
        <v>783</v>
      </c>
      <c r="G5" s="2172" t="s">
        <v>784</v>
      </c>
      <c r="H5" s="2172" t="s">
        <v>785</v>
      </c>
      <c r="I5" s="2442" t="s">
        <v>786</v>
      </c>
      <c r="J5" s="2174" t="s">
        <v>787</v>
      </c>
      <c r="K5" s="2174" t="s">
        <v>788</v>
      </c>
      <c r="L5" s="2174" t="s">
        <v>789</v>
      </c>
      <c r="M5" s="2174" t="s">
        <v>790</v>
      </c>
      <c r="N5" s="2421" t="s">
        <v>791</v>
      </c>
      <c r="O5" s="2194"/>
      <c r="P5" s="2421" t="s">
        <v>792</v>
      </c>
      <c r="Q5" s="2421" t="s">
        <v>793</v>
      </c>
      <c r="R5" s="2174" t="s">
        <v>794</v>
      </c>
      <c r="S5" s="2174" t="s">
        <v>795</v>
      </c>
      <c r="T5" s="2421" t="s">
        <v>796</v>
      </c>
      <c r="U5" s="2418" t="s">
        <v>797</v>
      </c>
      <c r="V5" s="2417" t="s">
        <v>796</v>
      </c>
      <c r="W5" s="2174" t="s">
        <v>798</v>
      </c>
      <c r="X5" s="2231" t="s">
        <v>799</v>
      </c>
      <c r="Y5" s="2231" t="s">
        <v>800</v>
      </c>
      <c r="Z5" s="2231" t="s">
        <v>801</v>
      </c>
      <c r="AA5" s="2194"/>
      <c r="AB5" s="848"/>
      <c r="AC5" s="2174" t="s">
        <v>802</v>
      </c>
      <c r="AD5" s="2174" t="s">
        <v>803</v>
      </c>
      <c r="AE5" s="848" t="s">
        <v>804</v>
      </c>
      <c r="AF5" s="2197" t="s">
        <v>805</v>
      </c>
      <c r="AG5" s="2431" t="s">
        <v>806</v>
      </c>
      <c r="AH5" s="2404" t="s">
        <v>807</v>
      </c>
      <c r="AI5" s="2405"/>
      <c r="AJ5" s="2405"/>
      <c r="AK5" s="2405"/>
      <c r="AL5" s="2405"/>
      <c r="AM5" s="2405"/>
      <c r="AN5" s="2406"/>
      <c r="AO5" s="2421" t="s">
        <v>808</v>
      </c>
      <c r="AP5" s="2421" t="s">
        <v>809</v>
      </c>
      <c r="AQ5" s="2421" t="str">
        <f>CONCATENATE("Mesmo que [NOME] não tenha trabalhado nos últimos 7 dias, entre as atividades listadas nas perguntas ",ROUND(J4,2),", ",ROUND(K4,2),", ",ROUND(L4,2), " e ", ROUND(M4,2)," existe alguma que [NOME] realizou durante os últimos 12 meses?",)</f>
        <v>Mesmo que [NOME] não tenha trabalhado nos últimos 7 dias, entre as atividades listadas nas perguntas 4,06, 4,07, 4,08 e 4,09 existe alguma que [NOME] realizou durante os últimos 12 meses?</v>
      </c>
      <c r="AR5" s="2417" t="s">
        <v>810</v>
      </c>
      <c r="AS5" s="2418"/>
    </row>
    <row r="6" spans="1:45" ht="12.75" customHeight="1">
      <c r="A6" s="2194"/>
      <c r="B6" s="2433"/>
      <c r="C6" s="2172"/>
      <c r="D6" s="2236"/>
      <c r="E6" s="2236"/>
      <c r="F6" s="2236"/>
      <c r="G6" s="2172"/>
      <c r="H6" s="2172"/>
      <c r="I6" s="2442"/>
      <c r="J6" s="2174"/>
      <c r="K6" s="2174"/>
      <c r="L6" s="2174"/>
      <c r="M6" s="2174"/>
      <c r="N6" s="2421"/>
      <c r="O6" s="2194"/>
      <c r="P6" s="2421"/>
      <c r="Q6" s="2421"/>
      <c r="R6" s="2174"/>
      <c r="S6" s="2174"/>
      <c r="T6" s="2421"/>
      <c r="U6" s="2418"/>
      <c r="V6" s="2417"/>
      <c r="W6" s="2174"/>
      <c r="X6" s="2231"/>
      <c r="Y6" s="2231"/>
      <c r="Z6" s="2231"/>
      <c r="AA6" s="2194"/>
      <c r="AB6" s="2445" t="s">
        <v>811</v>
      </c>
      <c r="AC6" s="2174"/>
      <c r="AD6" s="2174"/>
      <c r="AE6" s="848"/>
      <c r="AF6" s="2410"/>
      <c r="AG6" s="2431"/>
      <c r="AH6" s="2405"/>
      <c r="AI6" s="2405"/>
      <c r="AJ6" s="2405"/>
      <c r="AK6" s="2405"/>
      <c r="AL6" s="2405"/>
      <c r="AM6" s="2405"/>
      <c r="AN6" s="2406"/>
      <c r="AO6" s="2421"/>
      <c r="AP6" s="2421"/>
      <c r="AQ6" s="2421"/>
      <c r="AR6" s="2417"/>
      <c r="AS6" s="2418"/>
    </row>
    <row r="7" spans="1:45">
      <c r="A7" s="2194"/>
      <c r="B7" s="2433"/>
      <c r="C7" s="2172"/>
      <c r="D7" s="2236"/>
      <c r="E7" s="2236"/>
      <c r="F7" s="2236"/>
      <c r="G7" s="2172"/>
      <c r="H7" s="2172"/>
      <c r="I7" s="2442"/>
      <c r="J7" s="2174"/>
      <c r="K7" s="2174"/>
      <c r="L7" s="2174"/>
      <c r="M7" s="2174"/>
      <c r="N7" s="2421"/>
      <c r="O7" s="2194"/>
      <c r="P7" s="2421"/>
      <c r="Q7" s="2421"/>
      <c r="R7" s="2174"/>
      <c r="S7" s="2174"/>
      <c r="T7" s="2421"/>
      <c r="U7" s="472"/>
      <c r="V7" s="2417"/>
      <c r="W7" s="496"/>
      <c r="X7" s="2231"/>
      <c r="Y7" s="2231"/>
      <c r="Z7" s="2231"/>
      <c r="AA7" s="2194"/>
      <c r="AB7" s="2445"/>
      <c r="AC7" s="2174"/>
      <c r="AD7" s="2174"/>
      <c r="AE7" s="848"/>
      <c r="AF7" s="2410"/>
      <c r="AG7" s="2431"/>
      <c r="AH7" s="473"/>
      <c r="AI7" s="473"/>
      <c r="AJ7" s="473"/>
      <c r="AK7" s="473"/>
      <c r="AL7" s="473"/>
      <c r="AM7" s="473"/>
      <c r="AN7" s="474"/>
      <c r="AO7" s="2421"/>
      <c r="AP7" s="2421"/>
      <c r="AQ7" s="2421"/>
      <c r="AR7" s="2417"/>
      <c r="AS7" s="2418"/>
    </row>
    <row r="8" spans="1:45">
      <c r="A8" s="2194"/>
      <c r="B8" s="2433"/>
      <c r="C8" s="2172"/>
      <c r="D8" s="2236"/>
      <c r="E8" s="2236"/>
      <c r="F8" s="2236"/>
      <c r="G8" s="2172"/>
      <c r="H8" s="2172"/>
      <c r="I8" s="2442"/>
      <c r="J8" s="2174"/>
      <c r="K8" s="2174"/>
      <c r="L8" s="2174"/>
      <c r="M8" s="2174"/>
      <c r="N8" s="2421"/>
      <c r="O8" s="2194"/>
      <c r="P8" s="2421"/>
      <c r="Q8" s="2421"/>
      <c r="R8" s="2174"/>
      <c r="S8" s="2174"/>
      <c r="T8" s="2421"/>
      <c r="U8" s="849" t="s">
        <v>812</v>
      </c>
      <c r="V8" s="2417"/>
      <c r="W8" s="496"/>
      <c r="X8" s="2231"/>
      <c r="Y8" s="2231"/>
      <c r="Z8" s="2231"/>
      <c r="AA8" s="2194"/>
      <c r="AB8" s="2445"/>
      <c r="AC8" s="2174"/>
      <c r="AD8" s="2174"/>
      <c r="AE8" s="848"/>
      <c r="AF8" s="2410"/>
      <c r="AG8" s="2431"/>
      <c r="AH8" s="475"/>
      <c r="AI8" s="475"/>
      <c r="AJ8" s="475"/>
      <c r="AK8" s="475"/>
      <c r="AL8" s="475"/>
      <c r="AM8" s="475"/>
      <c r="AN8" s="476"/>
      <c r="AO8" s="2421"/>
      <c r="AP8" s="2421"/>
      <c r="AQ8" s="2421"/>
      <c r="AR8" s="477"/>
      <c r="AS8" s="478"/>
    </row>
    <row r="9" spans="1:45" ht="13.5" customHeight="1">
      <c r="A9" s="2194"/>
      <c r="B9" s="2433"/>
      <c r="C9" s="2172"/>
      <c r="D9" s="2236"/>
      <c r="E9" s="2236"/>
      <c r="F9" s="2236"/>
      <c r="G9" s="2172"/>
      <c r="H9" s="2172"/>
      <c r="I9" s="2442"/>
      <c r="J9" s="2174"/>
      <c r="K9" s="2174"/>
      <c r="L9" s="2174"/>
      <c r="M9" s="2174"/>
      <c r="N9" s="2421"/>
      <c r="O9" s="2194"/>
      <c r="P9" s="2421"/>
      <c r="Q9" s="848" t="s">
        <v>813</v>
      </c>
      <c r="R9" s="2174"/>
      <c r="S9" s="2174"/>
      <c r="T9" s="2421"/>
      <c r="U9" s="849" t="s">
        <v>814</v>
      </c>
      <c r="V9" s="2417"/>
      <c r="W9" s="118" t="s">
        <v>815</v>
      </c>
      <c r="X9" s="2231" t="str">
        <f>CONCATENATE("0 Sem emprego  ►(",TEXT(AB4,"0,00"),")")</f>
        <v>0 Sem emprego  ►(4,19)</v>
      </c>
      <c r="Y9" s="1112" t="s">
        <v>816</v>
      </c>
      <c r="Z9" s="2446" t="s">
        <v>261</v>
      </c>
      <c r="AA9" s="2194"/>
      <c r="AB9" s="2445"/>
      <c r="AD9" s="2174"/>
      <c r="AE9" s="848"/>
      <c r="AF9" s="2410"/>
      <c r="AG9" s="2413"/>
      <c r="AH9" s="479"/>
      <c r="AI9" s="479"/>
      <c r="AJ9" s="479"/>
      <c r="AK9" s="479"/>
      <c r="AL9" s="479"/>
      <c r="AM9" s="479"/>
      <c r="AN9" s="480"/>
      <c r="AO9" s="481"/>
      <c r="AP9" s="2421"/>
      <c r="AQ9" s="2421"/>
      <c r="AR9" s="477"/>
      <c r="AS9" s="478"/>
    </row>
    <row r="10" spans="1:45" ht="13.5" customHeight="1">
      <c r="A10" s="2194"/>
      <c r="B10" s="2433"/>
      <c r="C10" s="2172"/>
      <c r="D10" s="2236"/>
      <c r="E10" s="2236"/>
      <c r="F10" s="2236"/>
      <c r="G10" s="2172"/>
      <c r="H10" s="2172"/>
      <c r="I10" s="2442"/>
      <c r="J10" s="2174"/>
      <c r="K10" s="2174"/>
      <c r="L10" s="2174"/>
      <c r="M10" s="2174"/>
      <c r="N10" s="2421"/>
      <c r="O10" s="2194"/>
      <c r="P10" s="2421"/>
      <c r="Q10" s="848" t="s">
        <v>817</v>
      </c>
      <c r="R10" s="2174"/>
      <c r="S10" s="2174"/>
      <c r="T10" s="2421"/>
      <c r="U10" s="172" t="s">
        <v>818</v>
      </c>
      <c r="V10" s="2417"/>
      <c r="W10" s="118" t="s">
        <v>819</v>
      </c>
      <c r="X10" s="2231"/>
      <c r="Y10" s="168" t="s">
        <v>260</v>
      </c>
      <c r="Z10" s="2446"/>
      <c r="AA10" s="2194"/>
      <c r="AB10" s="2445"/>
      <c r="AD10" s="2174"/>
      <c r="AE10" s="848"/>
      <c r="AF10" s="482"/>
      <c r="AG10" s="2413"/>
      <c r="AH10" s="2422" t="s">
        <v>820</v>
      </c>
      <c r="AI10" s="2423"/>
      <c r="AJ10" s="2423"/>
      <c r="AK10" s="2423"/>
      <c r="AL10" s="2423"/>
      <c r="AM10" s="2423"/>
      <c r="AN10" s="2424"/>
      <c r="AO10" s="481"/>
      <c r="AP10" s="2421"/>
      <c r="AQ10" s="2421"/>
      <c r="AR10" s="2417" t="s">
        <v>821</v>
      </c>
      <c r="AS10" s="2418"/>
    </row>
    <row r="11" spans="1:45" ht="27">
      <c r="A11" s="2194"/>
      <c r="B11" s="2433"/>
      <c r="C11" s="2172"/>
      <c r="D11" s="2236"/>
      <c r="E11" s="2236"/>
      <c r="F11" s="2236"/>
      <c r="G11" s="2172"/>
      <c r="H11" s="2172"/>
      <c r="I11" s="2442"/>
      <c r="J11" s="2174"/>
      <c r="K11" s="2174"/>
      <c r="L11" s="2174"/>
      <c r="M11" s="2174"/>
      <c r="N11" s="2421"/>
      <c r="O11" s="2194"/>
      <c r="P11" s="2421"/>
      <c r="Q11" s="848" t="s">
        <v>822</v>
      </c>
      <c r="R11" s="2174"/>
      <c r="S11" s="2174"/>
      <c r="T11" s="2421"/>
      <c r="U11" s="849" t="s">
        <v>823</v>
      </c>
      <c r="V11" s="2417"/>
      <c r="W11" s="848" t="s">
        <v>824</v>
      </c>
      <c r="X11" s="806" t="s">
        <v>825</v>
      </c>
      <c r="Y11" s="174" t="s">
        <v>277</v>
      </c>
      <c r="Z11" s="1114" t="s">
        <v>296</v>
      </c>
      <c r="AA11" s="2194"/>
      <c r="AB11" s="2445"/>
      <c r="AC11" s="848" t="s">
        <v>826</v>
      </c>
      <c r="AD11" s="2410"/>
      <c r="AE11" s="861"/>
      <c r="AF11" s="482"/>
      <c r="AG11" s="2413"/>
      <c r="AH11" s="2425" t="s">
        <v>827</v>
      </c>
      <c r="AI11" s="2425"/>
      <c r="AJ11" s="2425"/>
      <c r="AK11" s="2425"/>
      <c r="AL11" s="2425"/>
      <c r="AM11" s="2425"/>
      <c r="AN11" s="2426"/>
      <c r="AO11" s="28" t="s">
        <v>828</v>
      </c>
      <c r="AP11" s="2421"/>
      <c r="AQ11" s="2421"/>
      <c r="AR11" s="2417"/>
      <c r="AS11" s="2418"/>
    </row>
    <row r="12" spans="1:45" ht="15.75" customHeight="1">
      <c r="A12" s="2194"/>
      <c r="B12" s="2433"/>
      <c r="C12" s="2172"/>
      <c r="D12" s="2236"/>
      <c r="E12" s="2236"/>
      <c r="F12" s="2236"/>
      <c r="G12" s="2172"/>
      <c r="H12" s="2172"/>
      <c r="I12" s="2442"/>
      <c r="J12" s="2174"/>
      <c r="K12" s="2174"/>
      <c r="L12" s="2174"/>
      <c r="M12" s="2174"/>
      <c r="N12" s="2421"/>
      <c r="O12" s="2194"/>
      <c r="P12" s="2421"/>
      <c r="Q12" s="848"/>
      <c r="R12" s="2174"/>
      <c r="S12" s="2174"/>
      <c r="T12" s="2421"/>
      <c r="U12" s="269" t="s">
        <v>829</v>
      </c>
      <c r="V12" s="2417"/>
      <c r="W12" s="1107" t="s">
        <v>830</v>
      </c>
      <c r="X12" s="1108"/>
      <c r="Y12" s="2196" t="s">
        <v>295</v>
      </c>
      <c r="Z12" s="2446" t="s">
        <v>310</v>
      </c>
      <c r="AA12" s="2194"/>
      <c r="AB12" s="2445"/>
      <c r="AC12" s="178" t="s">
        <v>831</v>
      </c>
      <c r="AD12" s="178"/>
      <c r="AE12" s="178"/>
      <c r="AF12" s="2197" t="s">
        <v>832</v>
      </c>
      <c r="AG12" s="2413"/>
      <c r="AH12" s="2427"/>
      <c r="AI12" s="2427"/>
      <c r="AJ12" s="2427"/>
      <c r="AK12" s="2427"/>
      <c r="AL12" s="2427"/>
      <c r="AM12" s="2427"/>
      <c r="AN12" s="2428"/>
      <c r="AO12" s="483" t="s">
        <v>833</v>
      </c>
      <c r="AP12" s="2421"/>
      <c r="AQ12" s="2421"/>
      <c r="AR12" s="2417"/>
      <c r="AS12" s="2418"/>
    </row>
    <row r="13" spans="1:45" ht="13.5" customHeight="1">
      <c r="A13" s="2194"/>
      <c r="B13" s="2433"/>
      <c r="C13" s="2172"/>
      <c r="D13" s="2236"/>
      <c r="E13" s="2236"/>
      <c r="F13" s="2236"/>
      <c r="G13" s="2172"/>
      <c r="H13" s="2172"/>
      <c r="I13" s="2442"/>
      <c r="J13" s="2174"/>
      <c r="K13" s="2174"/>
      <c r="L13" s="2174"/>
      <c r="M13" s="2174"/>
      <c r="N13" s="2421"/>
      <c r="O13" s="2194"/>
      <c r="P13" s="2421"/>
      <c r="Q13" s="848" t="s">
        <v>834</v>
      </c>
      <c r="R13" s="2174"/>
      <c r="S13" s="2174"/>
      <c r="T13" s="2421"/>
      <c r="U13" s="269" t="s">
        <v>835</v>
      </c>
      <c r="V13" s="2417"/>
      <c r="W13" s="168" t="s">
        <v>836</v>
      </c>
      <c r="X13" s="677" t="s">
        <v>309</v>
      </c>
      <c r="Y13" s="2196"/>
      <c r="Z13" s="2446"/>
      <c r="AA13" s="2194"/>
      <c r="AB13" s="860"/>
      <c r="AC13" s="2192" t="s">
        <v>837</v>
      </c>
      <c r="AD13" s="178"/>
      <c r="AE13" s="178"/>
      <c r="AF13" s="2197"/>
      <c r="AG13" s="1116" t="s">
        <v>106</v>
      </c>
      <c r="AH13" s="2414" t="s">
        <v>838</v>
      </c>
      <c r="AI13" s="2407" t="s">
        <v>839</v>
      </c>
      <c r="AJ13" s="2401" t="s">
        <v>840</v>
      </c>
      <c r="AK13" s="2407" t="s">
        <v>841</v>
      </c>
      <c r="AL13" s="2407" t="s">
        <v>842</v>
      </c>
      <c r="AM13" s="2407" t="s">
        <v>843</v>
      </c>
      <c r="AN13" s="2407" t="s">
        <v>844</v>
      </c>
      <c r="AO13" s="2421" t="str">
        <f>CONCATENATE("3 Explorador agrícola ► (",ROUND(AQ4,2),")")</f>
        <v>3 Explorador agrícola ► (4,27)</v>
      </c>
      <c r="AP13" s="2421"/>
      <c r="AQ13" s="2421"/>
      <c r="AR13" s="2417" t="s">
        <v>845</v>
      </c>
      <c r="AS13" s="2418"/>
    </row>
    <row r="14" spans="1:45" ht="13.5" customHeight="1">
      <c r="A14" s="2194"/>
      <c r="B14" s="2433"/>
      <c r="C14" s="2172"/>
      <c r="D14" s="2236"/>
      <c r="E14" s="2236"/>
      <c r="F14" s="2236"/>
      <c r="G14" s="2172"/>
      <c r="H14" s="2172"/>
      <c r="I14" s="2442"/>
      <c r="J14" s="2174"/>
      <c r="K14" s="2174"/>
      <c r="L14" s="2174"/>
      <c r="M14" s="2174"/>
      <c r="N14" s="2421"/>
      <c r="O14" s="2194"/>
      <c r="P14" s="2421"/>
      <c r="Q14" s="178" t="s">
        <v>846</v>
      </c>
      <c r="R14" s="2174"/>
      <c r="S14" s="2174"/>
      <c r="T14" s="28"/>
      <c r="U14" s="172"/>
      <c r="V14" s="303"/>
      <c r="W14" s="848" t="s">
        <v>847</v>
      </c>
      <c r="X14" s="677" t="s">
        <v>323</v>
      </c>
      <c r="Y14" s="2196" t="s">
        <v>321</v>
      </c>
      <c r="Z14" s="2446" t="s">
        <v>848</v>
      </c>
      <c r="AA14" s="2194"/>
      <c r="AB14" s="28"/>
      <c r="AC14" s="2192"/>
      <c r="AD14" s="28"/>
      <c r="AE14" s="28"/>
      <c r="AF14" s="2335" t="s">
        <v>849</v>
      </c>
      <c r="AG14" s="1118" t="s">
        <v>267</v>
      </c>
      <c r="AH14" s="2415"/>
      <c r="AI14" s="2408"/>
      <c r="AJ14" s="2402"/>
      <c r="AK14" s="2408"/>
      <c r="AL14" s="2408"/>
      <c r="AM14" s="2408"/>
      <c r="AN14" s="2408"/>
      <c r="AO14" s="2421"/>
      <c r="AP14" s="2421"/>
      <c r="AQ14" s="2421"/>
      <c r="AR14" s="2417"/>
      <c r="AS14" s="2418"/>
    </row>
    <row r="15" spans="1:45" ht="13.5" customHeight="1">
      <c r="A15" s="2194"/>
      <c r="B15" s="2433"/>
      <c r="C15" s="2172"/>
      <c r="D15" s="2236"/>
      <c r="E15" s="2236"/>
      <c r="F15" s="2236"/>
      <c r="G15" s="2172"/>
      <c r="H15" s="2172"/>
      <c r="I15" s="2442"/>
      <c r="J15" s="2174"/>
      <c r="K15" s="2174"/>
      <c r="L15" s="2174"/>
      <c r="M15" s="2174"/>
      <c r="N15" s="484"/>
      <c r="O15" s="2194"/>
      <c r="P15" s="2421"/>
      <c r="Q15" s="2174" t="s">
        <v>850</v>
      </c>
      <c r="R15" s="2174"/>
      <c r="S15" s="2174"/>
      <c r="T15" s="28"/>
      <c r="U15" s="849" t="s">
        <v>851</v>
      </c>
      <c r="V15" s="303"/>
      <c r="W15" s="1109" t="s">
        <v>852</v>
      </c>
      <c r="X15" s="1110"/>
      <c r="Y15" s="2196"/>
      <c r="Z15" s="2446"/>
      <c r="AA15" s="2194"/>
      <c r="AB15" s="28" t="str">
        <f>CONCATENATE("1 Sim")</f>
        <v>1 Sim</v>
      </c>
      <c r="AC15" s="2174" t="s">
        <v>853</v>
      </c>
      <c r="AD15" s="2356" t="s">
        <v>854</v>
      </c>
      <c r="AE15" s="2356" t="s">
        <v>854</v>
      </c>
      <c r="AF15" s="2335"/>
      <c r="AG15" s="2411"/>
      <c r="AH15" s="2415"/>
      <c r="AI15" s="2408"/>
      <c r="AJ15" s="2402"/>
      <c r="AK15" s="2408"/>
      <c r="AL15" s="2408"/>
      <c r="AM15" s="2408"/>
      <c r="AN15" s="2408"/>
      <c r="AO15" s="2421" t="str">
        <f>CONCATENATE("4 Independente não-agrícola► (", ROUND(AQ4,2),")")</f>
        <v>4 Independente não-agrícola► (4,27)</v>
      </c>
      <c r="AP15" s="2421"/>
      <c r="AQ15" s="2421"/>
      <c r="AR15" s="2417" t="s">
        <v>855</v>
      </c>
      <c r="AS15" s="2418"/>
    </row>
    <row r="16" spans="1:45" ht="40.5">
      <c r="A16" s="2194"/>
      <c r="B16" s="2433"/>
      <c r="C16" s="2172"/>
      <c r="D16" s="2236"/>
      <c r="E16" s="2236"/>
      <c r="F16" s="2236"/>
      <c r="G16" s="2172"/>
      <c r="H16" s="2172"/>
      <c r="I16" s="2442"/>
      <c r="J16" s="2174"/>
      <c r="K16" s="2174"/>
      <c r="L16" s="2174"/>
      <c r="M16" s="2174"/>
      <c r="N16" s="484"/>
      <c r="O16" s="2194"/>
      <c r="P16" s="2421"/>
      <c r="Q16" s="2174"/>
      <c r="R16" s="2174"/>
      <c r="S16" s="2174"/>
      <c r="T16" s="28"/>
      <c r="U16" s="849" t="s">
        <v>856</v>
      </c>
      <c r="V16" s="303"/>
      <c r="W16" s="174" t="s">
        <v>857</v>
      </c>
      <c r="X16" s="1108" t="s">
        <v>858</v>
      </c>
      <c r="Y16" s="188" t="s">
        <v>336</v>
      </c>
      <c r="Z16" s="2431" t="s">
        <v>859</v>
      </c>
      <c r="AA16" s="2194"/>
      <c r="AB16" s="28" t="s">
        <v>581</v>
      </c>
      <c r="AC16" s="2174"/>
      <c r="AD16" s="2356"/>
      <c r="AE16" s="2356"/>
      <c r="AF16" s="28"/>
      <c r="AG16" s="2411"/>
      <c r="AH16" s="2415"/>
      <c r="AI16" s="2408"/>
      <c r="AJ16" s="2402"/>
      <c r="AK16" s="2408"/>
      <c r="AL16" s="2408"/>
      <c r="AM16" s="2408"/>
      <c r="AN16" s="2408"/>
      <c r="AO16" s="2421"/>
      <c r="AP16" s="2421"/>
      <c r="AQ16" s="2421"/>
      <c r="AR16" s="2417"/>
      <c r="AS16" s="2418"/>
    </row>
    <row r="17" spans="1:45" ht="13.5" customHeight="1">
      <c r="A17" s="2194"/>
      <c r="B17" s="2433"/>
      <c r="C17" s="2172"/>
      <c r="D17" s="2236"/>
      <c r="E17" s="2236"/>
      <c r="F17" s="2236"/>
      <c r="G17" s="2172"/>
      <c r="H17" s="2172"/>
      <c r="I17" s="2442"/>
      <c r="J17" s="2174"/>
      <c r="K17" s="2174"/>
      <c r="L17" s="2174"/>
      <c r="M17" s="2174"/>
      <c r="N17" s="484"/>
      <c r="O17" s="2194"/>
      <c r="P17" s="2421"/>
      <c r="Q17" s="848" t="s">
        <v>860</v>
      </c>
      <c r="R17" s="2174"/>
      <c r="S17" s="2174"/>
      <c r="T17" s="28"/>
      <c r="U17" s="849" t="s">
        <v>861</v>
      </c>
      <c r="V17" s="303"/>
      <c r="W17" s="174" t="s">
        <v>862</v>
      </c>
      <c r="X17" s="1110" t="s">
        <v>349</v>
      </c>
      <c r="Y17" s="2197" t="s">
        <v>350</v>
      </c>
      <c r="Z17" s="2431"/>
      <c r="AA17" s="2194"/>
      <c r="AB17" s="767" t="str">
        <f>CONCATENATE("►(",TEXT(AQ4,"0,00"),")")</f>
        <v>►(4,27)</v>
      </c>
      <c r="AC17" s="485"/>
      <c r="AD17" s="2356"/>
      <c r="AE17" s="2356"/>
      <c r="AF17" s="28"/>
      <c r="AG17" s="2411"/>
      <c r="AH17" s="2415"/>
      <c r="AI17" s="2408"/>
      <c r="AJ17" s="2402"/>
      <c r="AK17" s="2408"/>
      <c r="AL17" s="2408"/>
      <c r="AM17" s="2408"/>
      <c r="AN17" s="2408"/>
      <c r="AO17" s="486" t="s">
        <v>863</v>
      </c>
      <c r="AP17" s="483"/>
      <c r="AQ17" s="2421"/>
      <c r="AR17" s="2417" t="s">
        <v>864</v>
      </c>
      <c r="AS17" s="2418"/>
    </row>
    <row r="18" spans="1:45" ht="27" customHeight="1">
      <c r="A18" s="2194"/>
      <c r="B18" s="2433"/>
      <c r="C18" s="2172"/>
      <c r="D18" s="2236"/>
      <c r="E18" s="2236"/>
      <c r="F18" s="2236"/>
      <c r="G18" s="2172"/>
      <c r="H18" s="2172"/>
      <c r="I18" s="2442"/>
      <c r="J18" s="2174"/>
      <c r="K18" s="2174"/>
      <c r="L18" s="2174"/>
      <c r="M18" s="2174"/>
      <c r="N18" s="484"/>
      <c r="O18" s="2194"/>
      <c r="P18" s="2421"/>
      <c r="Q18" s="269" t="s">
        <v>865</v>
      </c>
      <c r="R18" s="2174"/>
      <c r="S18" s="2174"/>
      <c r="T18" s="487" t="s">
        <v>106</v>
      </c>
      <c r="U18" s="849"/>
      <c r="V18" s="488"/>
      <c r="W18" s="174" t="s">
        <v>866</v>
      </c>
      <c r="X18" s="1110" t="s">
        <v>361</v>
      </c>
      <c r="Y18" s="2197"/>
      <c r="Z18" s="2431" t="s">
        <v>867</v>
      </c>
      <c r="AA18" s="2194"/>
      <c r="AB18" s="484"/>
      <c r="AC18" s="848"/>
      <c r="AD18" s="2356"/>
      <c r="AE18" s="2356"/>
      <c r="AF18" s="321"/>
      <c r="AG18" s="2411"/>
      <c r="AH18" s="2415"/>
      <c r="AI18" s="2408"/>
      <c r="AJ18" s="2402"/>
      <c r="AK18" s="2408"/>
      <c r="AL18" s="2408"/>
      <c r="AM18" s="2408"/>
      <c r="AN18" s="2408"/>
      <c r="AO18" s="483"/>
      <c r="AP18" s="483"/>
      <c r="AQ18" s="2421"/>
      <c r="AR18" s="2417"/>
      <c r="AS18" s="2418"/>
    </row>
    <row r="19" spans="1:45" ht="13.5" customHeight="1">
      <c r="A19" s="2194"/>
      <c r="B19" s="2433"/>
      <c r="C19" s="2172"/>
      <c r="D19" s="2236"/>
      <c r="E19" s="2236"/>
      <c r="F19" s="2236"/>
      <c r="G19" s="2172"/>
      <c r="H19" s="2172"/>
      <c r="I19" s="2442"/>
      <c r="J19" s="2174"/>
      <c r="K19" s="2174"/>
      <c r="L19" s="2174"/>
      <c r="M19" s="28"/>
      <c r="N19" s="484"/>
      <c r="O19" s="2194"/>
      <c r="P19" s="2421"/>
      <c r="Q19" s="2174" t="s">
        <v>861</v>
      </c>
      <c r="R19" s="2174"/>
      <c r="S19" s="2174"/>
      <c r="T19" s="28" t="s">
        <v>581</v>
      </c>
      <c r="U19" s="489"/>
      <c r="V19" s="303"/>
      <c r="W19" s="174" t="s">
        <v>868</v>
      </c>
      <c r="X19" s="1111" t="s">
        <v>869</v>
      </c>
      <c r="Y19" s="34" t="s">
        <v>362</v>
      </c>
      <c r="Z19" s="2431"/>
      <c r="AA19" s="2194"/>
      <c r="AB19" s="28"/>
      <c r="AC19" s="28"/>
      <c r="AD19" s="28"/>
      <c r="AE19" s="28"/>
      <c r="AF19" s="28"/>
      <c r="AG19" s="2411"/>
      <c r="AH19" s="2415"/>
      <c r="AI19" s="2408"/>
      <c r="AJ19" s="2402"/>
      <c r="AK19" s="2408"/>
      <c r="AL19" s="2408"/>
      <c r="AM19" s="2408"/>
      <c r="AN19" s="2408"/>
      <c r="AO19" s="28"/>
      <c r="AP19" s="28"/>
      <c r="AR19" s="2417" t="s">
        <v>870</v>
      </c>
      <c r="AS19" s="2418"/>
    </row>
    <row r="20" spans="1:45" ht="27" customHeight="1">
      <c r="A20" s="2194"/>
      <c r="B20" s="2433"/>
      <c r="C20" s="2172"/>
      <c r="D20" s="2236"/>
      <c r="E20" s="2236"/>
      <c r="F20" s="2236"/>
      <c r="G20" s="2172"/>
      <c r="H20" s="2172"/>
      <c r="I20" s="2442"/>
      <c r="J20" s="44"/>
      <c r="K20" s="2174"/>
      <c r="L20" s="2174"/>
      <c r="M20" s="28"/>
      <c r="N20" s="484"/>
      <c r="O20" s="2194"/>
      <c r="P20" s="2421"/>
      <c r="Q20" s="2174"/>
      <c r="R20" s="2174"/>
      <c r="S20" s="2174"/>
      <c r="T20" s="165" t="str">
        <f>CONCATENATE("►►(",ROUND(S04_Emploi_B!B4,2),"), PARTE B")</f>
        <v>►►(4,29), PARTE B</v>
      </c>
      <c r="U20" s="491"/>
      <c r="V20" s="303"/>
      <c r="W20" s="168" t="s">
        <v>871</v>
      </c>
      <c r="X20" s="1111" t="s">
        <v>872</v>
      </c>
      <c r="Y20" s="2197" t="s">
        <v>373</v>
      </c>
      <c r="Z20" s="1115"/>
      <c r="AA20" s="2194"/>
      <c r="AB20" s="28"/>
      <c r="AC20" s="492"/>
      <c r="AD20" s="28"/>
      <c r="AE20" s="28"/>
      <c r="AF20" s="28"/>
      <c r="AG20" s="2411"/>
      <c r="AH20" s="2415"/>
      <c r="AI20" s="2408"/>
      <c r="AJ20" s="2402"/>
      <c r="AK20" s="2408"/>
      <c r="AL20" s="2408"/>
      <c r="AM20" s="2408"/>
      <c r="AN20" s="2408"/>
      <c r="AO20" s="483"/>
      <c r="AP20" s="483"/>
      <c r="AQ20" s="28" t="s">
        <v>873</v>
      </c>
      <c r="AR20" s="303"/>
      <c r="AS20" s="29"/>
    </row>
    <row r="21" spans="1:45" ht="13.5" customHeight="1">
      <c r="A21" s="2194"/>
      <c r="B21" s="2433"/>
      <c r="C21" s="493"/>
      <c r="D21" s="2437"/>
      <c r="E21" s="2444"/>
      <c r="F21" s="2437"/>
      <c r="G21" s="493"/>
      <c r="H21" s="493"/>
      <c r="I21" s="2442"/>
      <c r="J21" s="44"/>
      <c r="K21" s="2174"/>
      <c r="L21" s="28"/>
      <c r="M21" s="28"/>
      <c r="N21" s="495"/>
      <c r="O21" s="2194"/>
      <c r="P21" s="303"/>
      <c r="Q21" s="490" t="s">
        <v>874</v>
      </c>
      <c r="R21" s="44"/>
      <c r="S21" s="2174"/>
      <c r="T21" s="496"/>
      <c r="U21" s="497"/>
      <c r="V21" s="28" t="str">
        <f>CONCATENATE("1 Sim ►(",AC4,")")</f>
        <v>1 Sim ►(4,2)</v>
      </c>
      <c r="W21" s="28" t="s">
        <v>875</v>
      </c>
      <c r="X21" s="1111" t="s">
        <v>388</v>
      </c>
      <c r="Y21" s="2197"/>
      <c r="Z21" s="1115" t="s">
        <v>876</v>
      </c>
      <c r="AA21" s="2194"/>
      <c r="AB21" s="28"/>
      <c r="AC21" s="28"/>
      <c r="AD21" s="28"/>
      <c r="AE21" s="28"/>
      <c r="AF21" s="28"/>
      <c r="AG21" s="2411"/>
      <c r="AH21" s="2415"/>
      <c r="AI21" s="2408"/>
      <c r="AJ21" s="2402"/>
      <c r="AK21" s="2408"/>
      <c r="AL21" s="2408"/>
      <c r="AM21" s="2408"/>
      <c r="AN21" s="2408"/>
      <c r="AO21" s="483"/>
      <c r="AP21" s="483"/>
      <c r="AQ21" s="2421" t="s">
        <v>877</v>
      </c>
      <c r="AR21" s="2417" t="s">
        <v>878</v>
      </c>
      <c r="AS21" s="2418"/>
    </row>
    <row r="22" spans="1:45" ht="13.5">
      <c r="A22" s="2194"/>
      <c r="B22" s="2433"/>
      <c r="C22" s="493"/>
      <c r="D22" s="2437"/>
      <c r="E22" s="2444"/>
      <c r="F22" s="2437"/>
      <c r="G22" s="493"/>
      <c r="H22" s="493"/>
      <c r="I22" s="2442"/>
      <c r="J22" s="28" t="s">
        <v>879</v>
      </c>
      <c r="K22" s="28" t="s">
        <v>879</v>
      </c>
      <c r="L22" s="28" t="s">
        <v>879</v>
      </c>
      <c r="M22" s="28" t="s">
        <v>879</v>
      </c>
      <c r="N22" s="165" t="str">
        <f>CONCATENATE("1 Sim ►(",ROUND(S04_Emploi_B!B4,2),") PARTE B")</f>
        <v>1 Sim ►(4,29) PARTE B</v>
      </c>
      <c r="O22" s="2194"/>
      <c r="P22" s="303" t="s">
        <v>880</v>
      </c>
      <c r="Q22" s="1106"/>
      <c r="R22" s="28" t="str">
        <f>CONCATENATE("1 Sim ►(",T4,")")</f>
        <v>1 Sim ►(4,15)</v>
      </c>
      <c r="S22" s="28" t="s">
        <v>880</v>
      </c>
      <c r="T22" s="44"/>
      <c r="U22" s="471"/>
      <c r="V22" s="303" t="s">
        <v>581</v>
      </c>
      <c r="W22" s="28" t="s">
        <v>881</v>
      </c>
      <c r="X22" s="1109" t="s">
        <v>882</v>
      </c>
      <c r="Y22" s="2197" t="s">
        <v>381</v>
      </c>
      <c r="Z22" s="1116" t="s">
        <v>883</v>
      </c>
      <c r="AA22" s="2194"/>
      <c r="AB22" s="28"/>
      <c r="AC22" s="487"/>
      <c r="AD22" s="28"/>
      <c r="AE22" s="494"/>
      <c r="AF22" s="491"/>
      <c r="AG22" s="2411"/>
      <c r="AH22" s="2415"/>
      <c r="AI22" s="2408"/>
      <c r="AJ22" s="2402"/>
      <c r="AK22" s="2408"/>
      <c r="AL22" s="2408"/>
      <c r="AM22" s="2408"/>
      <c r="AN22" s="2408"/>
      <c r="AO22" s="28"/>
      <c r="AP22" s="28"/>
      <c r="AQ22" s="2421"/>
      <c r="AR22" s="2417"/>
      <c r="AS22" s="2418"/>
    </row>
    <row r="23" spans="1:45" ht="13.5">
      <c r="A23" s="2194"/>
      <c r="B23" s="2433"/>
      <c r="C23" s="493"/>
      <c r="D23" s="2437"/>
      <c r="E23" s="2444"/>
      <c r="F23" s="2437"/>
      <c r="G23" s="493"/>
      <c r="H23" s="493"/>
      <c r="I23" s="2442"/>
      <c r="J23" s="28" t="s">
        <v>884</v>
      </c>
      <c r="K23" s="28" t="s">
        <v>884</v>
      </c>
      <c r="L23" s="28" t="s">
        <v>884</v>
      </c>
      <c r="M23" s="28" t="s">
        <v>884</v>
      </c>
      <c r="N23" s="487" t="s">
        <v>581</v>
      </c>
      <c r="O23" s="2194"/>
      <c r="P23" s="303" t="str">
        <f>CONCATENATE("2 Não ►(",R4,")")</f>
        <v>2 Não ►(4,13)</v>
      </c>
      <c r="Q23" s="498"/>
      <c r="R23" s="2435" t="s">
        <v>267</v>
      </c>
      <c r="S23" s="2435" t="str">
        <f>CONCATENATE("2 Não ►(",U4,")")</f>
        <v>2 Não ►(4,16)</v>
      </c>
      <c r="T23" s="34"/>
      <c r="U23" s="471"/>
      <c r="V23" s="499"/>
      <c r="W23" s="321" t="s">
        <v>885</v>
      </c>
      <c r="X23" s="824"/>
      <c r="Y23" s="2197"/>
      <c r="Z23" s="1109"/>
      <c r="AA23" s="2194"/>
      <c r="AC23" s="487"/>
      <c r="AD23" s="28"/>
      <c r="AE23" s="494"/>
      <c r="AF23" s="491"/>
      <c r="AG23" s="2411"/>
      <c r="AH23" s="2415"/>
      <c r="AI23" s="2408"/>
      <c r="AJ23" s="2402"/>
      <c r="AK23" s="2408"/>
      <c r="AL23" s="2408"/>
      <c r="AM23" s="2408"/>
      <c r="AN23" s="2408"/>
      <c r="AO23" s="487"/>
      <c r="AP23" s="487"/>
      <c r="AQ23" s="2421"/>
      <c r="AR23" s="2417"/>
      <c r="AS23" s="2418"/>
    </row>
    <row r="24" spans="1:45" ht="27">
      <c r="A24" s="2194"/>
      <c r="B24" s="2433"/>
      <c r="C24" s="493"/>
      <c r="D24" s="2437"/>
      <c r="E24" s="2444"/>
      <c r="F24" s="2437"/>
      <c r="G24" s="493"/>
      <c r="H24" s="494"/>
      <c r="I24" s="2442"/>
      <c r="J24" s="28"/>
      <c r="K24" s="28"/>
      <c r="L24" s="28"/>
      <c r="M24" s="28"/>
      <c r="N24" s="487"/>
      <c r="O24" s="2194"/>
      <c r="P24" s="303"/>
      <c r="Q24" s="498"/>
      <c r="R24" s="2435"/>
      <c r="S24" s="2435"/>
      <c r="T24" s="34"/>
      <c r="U24" s="471"/>
      <c r="V24" s="499"/>
      <c r="W24" s="28" t="s">
        <v>886</v>
      </c>
      <c r="X24" s="824"/>
      <c r="Y24" s="188" t="s">
        <v>389</v>
      </c>
      <c r="Z24" s="1109"/>
      <c r="AA24" s="2194"/>
      <c r="AC24" s="487"/>
      <c r="AD24" s="28"/>
      <c r="AE24" s="494"/>
      <c r="AF24" s="491"/>
      <c r="AG24" s="2411"/>
      <c r="AH24" s="2415"/>
      <c r="AI24" s="2408"/>
      <c r="AJ24" s="2402"/>
      <c r="AK24" s="2408"/>
      <c r="AL24" s="2408"/>
      <c r="AM24" s="2408"/>
      <c r="AN24" s="2408"/>
      <c r="AO24" s="487"/>
      <c r="AP24" s="487"/>
      <c r="AQ24" s="2421"/>
      <c r="AR24" s="683"/>
      <c r="AS24" s="684"/>
    </row>
    <row r="25" spans="1:45" ht="13.5">
      <c r="A25" s="2194"/>
      <c r="B25" s="2433"/>
      <c r="C25" s="493"/>
      <c r="D25" s="2437"/>
      <c r="E25" s="2444"/>
      <c r="F25" s="2437"/>
      <c r="G25" s="493"/>
      <c r="H25" s="494"/>
      <c r="I25" s="2442"/>
      <c r="J25" s="28"/>
      <c r="K25" s="28"/>
      <c r="L25" s="28"/>
      <c r="M25" s="28"/>
      <c r="N25" s="487"/>
      <c r="O25" s="2194"/>
      <c r="P25" s="303"/>
      <c r="Q25" s="498"/>
      <c r="R25" s="2435"/>
      <c r="S25" s="2435"/>
      <c r="T25" s="34"/>
      <c r="U25" s="471"/>
      <c r="V25" s="499"/>
      <c r="W25" s="28" t="s">
        <v>887</v>
      </c>
      <c r="X25" s="1109"/>
      <c r="Y25" s="188" t="s">
        <v>396</v>
      </c>
      <c r="Z25" s="1109"/>
      <c r="AA25" s="2194"/>
      <c r="AC25" s="487"/>
      <c r="AD25" s="28"/>
      <c r="AE25" s="494"/>
      <c r="AF25" s="491"/>
      <c r="AG25" s="2411"/>
      <c r="AH25" s="2415"/>
      <c r="AI25" s="2408"/>
      <c r="AJ25" s="2402"/>
      <c r="AK25" s="2408"/>
      <c r="AL25" s="2408"/>
      <c r="AM25" s="2408"/>
      <c r="AN25" s="2408"/>
      <c r="AO25" s="487"/>
      <c r="AP25" s="487"/>
      <c r="AQ25" s="2421"/>
      <c r="AR25" s="683"/>
      <c r="AS25" s="684"/>
    </row>
    <row r="26" spans="1:45" ht="13.5">
      <c r="A26" s="2194"/>
      <c r="B26" s="2433"/>
      <c r="C26" s="500"/>
      <c r="D26" s="2438"/>
      <c r="E26" s="2132"/>
      <c r="F26" s="2438"/>
      <c r="G26" s="501"/>
      <c r="H26" s="865"/>
      <c r="I26" s="2443"/>
      <c r="J26" s="28"/>
      <c r="K26" s="497"/>
      <c r="L26" s="28"/>
      <c r="M26" s="28"/>
      <c r="N26" s="28"/>
      <c r="O26" s="2194"/>
      <c r="P26" s="494"/>
      <c r="Q26" s="502"/>
      <c r="R26" s="2436"/>
      <c r="S26" s="2436"/>
      <c r="T26" s="502"/>
      <c r="U26" s="503"/>
      <c r="V26" s="493"/>
      <c r="W26" s="28"/>
      <c r="X26" s="1111"/>
      <c r="Y26" s="188" t="s">
        <v>400</v>
      </c>
      <c r="Z26" s="1109"/>
      <c r="AA26" s="2194"/>
      <c r="AB26" s="850"/>
      <c r="AC26" s="217"/>
      <c r="AD26" s="502"/>
      <c r="AE26" s="502"/>
      <c r="AF26" s="502"/>
      <c r="AG26" s="2412"/>
      <c r="AH26" s="2415"/>
      <c r="AI26" s="2408"/>
      <c r="AJ26" s="2402"/>
      <c r="AK26" s="2408"/>
      <c r="AL26" s="2408"/>
      <c r="AM26" s="2408"/>
      <c r="AN26" s="2408"/>
      <c r="AO26" s="28"/>
      <c r="AP26" s="2419" t="s">
        <v>607</v>
      </c>
      <c r="AQ26" s="2439"/>
      <c r="AR26" s="2429" t="str">
        <f>CONCATENATE("►►(",ROUND(S04_Emploi_B!B4,2),")", " PARTE B")</f>
        <v>►►(4,29) PARTE B</v>
      </c>
      <c r="AS26" s="2430"/>
    </row>
    <row r="27" spans="1:45" ht="15" customHeight="1" thickBot="1">
      <c r="A27" s="2195"/>
      <c r="B27" s="2434"/>
      <c r="C27" s="438" t="s">
        <v>888</v>
      </c>
      <c r="D27" s="438" t="s">
        <v>888</v>
      </c>
      <c r="E27" s="438" t="s">
        <v>888</v>
      </c>
      <c r="F27" s="438" t="s">
        <v>888</v>
      </c>
      <c r="G27" s="438" t="s">
        <v>888</v>
      </c>
      <c r="H27" s="438" t="s">
        <v>888</v>
      </c>
      <c r="I27" s="1102" t="s">
        <v>888</v>
      </c>
      <c r="J27" s="228" t="s">
        <v>420</v>
      </c>
      <c r="K27" s="228" t="s">
        <v>420</v>
      </c>
      <c r="L27" s="228" t="s">
        <v>420</v>
      </c>
      <c r="M27" s="228" t="s">
        <v>420</v>
      </c>
      <c r="N27" s="504" t="s">
        <v>420</v>
      </c>
      <c r="O27" s="2195"/>
      <c r="P27" s="504" t="s">
        <v>420</v>
      </c>
      <c r="Q27" s="504" t="s">
        <v>420</v>
      </c>
      <c r="R27" s="228" t="s">
        <v>420</v>
      </c>
      <c r="S27" s="228" t="s">
        <v>420</v>
      </c>
      <c r="T27" s="504" t="s">
        <v>420</v>
      </c>
      <c r="U27" s="505" t="s">
        <v>420</v>
      </c>
      <c r="V27" s="506" t="s">
        <v>420</v>
      </c>
      <c r="W27" s="228" t="s">
        <v>420</v>
      </c>
      <c r="X27" s="228" t="s">
        <v>420</v>
      </c>
      <c r="Y27" s="228" t="s">
        <v>420</v>
      </c>
      <c r="Z27" s="228" t="s">
        <v>420</v>
      </c>
      <c r="AA27" s="2195"/>
      <c r="AB27" s="862"/>
      <c r="AC27" s="504" t="s">
        <v>420</v>
      </c>
      <c r="AD27" s="228" t="s">
        <v>421</v>
      </c>
      <c r="AE27" s="228" t="s">
        <v>421</v>
      </c>
      <c r="AF27" s="507" t="s">
        <v>420</v>
      </c>
      <c r="AG27" s="1119" t="s">
        <v>420</v>
      </c>
      <c r="AH27" s="2416"/>
      <c r="AI27" s="2409"/>
      <c r="AJ27" s="2403"/>
      <c r="AK27" s="2409"/>
      <c r="AL27" s="2409"/>
      <c r="AM27" s="2409"/>
      <c r="AN27" s="2409"/>
      <c r="AO27" s="504" t="s">
        <v>420</v>
      </c>
      <c r="AP27" s="2420"/>
      <c r="AQ27" s="504" t="s">
        <v>420</v>
      </c>
      <c r="AR27" s="504" t="s">
        <v>889</v>
      </c>
      <c r="AS27" s="525" t="s">
        <v>890</v>
      </c>
    </row>
    <row r="28" spans="1:45" ht="14.25" customHeight="1" thickTop="1">
      <c r="A28" s="508" t="s">
        <v>775</v>
      </c>
      <c r="B28" s="412"/>
      <c r="C28" s="509"/>
      <c r="D28" s="816"/>
      <c r="E28" s="816"/>
      <c r="F28" s="816"/>
      <c r="G28" s="509"/>
      <c r="H28" s="509"/>
      <c r="I28" s="303"/>
      <c r="J28" s="510"/>
      <c r="K28" s="510"/>
      <c r="L28" s="510"/>
      <c r="M28" s="510"/>
      <c r="N28" s="510"/>
      <c r="O28" s="508" t="s">
        <v>775</v>
      </c>
      <c r="P28" s="510"/>
      <c r="Q28" s="510"/>
      <c r="R28" s="510"/>
      <c r="S28" s="510"/>
      <c r="T28" s="510"/>
      <c r="U28" s="412"/>
      <c r="V28" s="511"/>
      <c r="W28" s="512"/>
      <c r="X28" s="820"/>
      <c r="Y28" s="821"/>
      <c r="Z28" s="821"/>
      <c r="AA28" s="508" t="s">
        <v>775</v>
      </c>
      <c r="AB28" s="513"/>
      <c r="AC28" s="512"/>
      <c r="AD28" s="510"/>
      <c r="AE28" s="510"/>
      <c r="AF28" s="510"/>
      <c r="AG28" s="826"/>
      <c r="AH28" s="412"/>
      <c r="AI28" s="510"/>
      <c r="AJ28" s="412"/>
      <c r="AK28" s="510"/>
      <c r="AL28" s="510"/>
      <c r="AM28" s="412"/>
      <c r="AN28" s="510"/>
      <c r="AO28" s="510"/>
      <c r="AP28" s="510"/>
      <c r="AQ28" s="510"/>
      <c r="AR28" s="510"/>
      <c r="AS28" s="510"/>
    </row>
    <row r="29" spans="1:45" ht="14.25" customHeight="1" thickBot="1">
      <c r="A29" s="514" t="s">
        <v>776</v>
      </c>
      <c r="B29" s="515"/>
      <c r="C29" s="450"/>
      <c r="D29" s="817"/>
      <c r="E29" s="817"/>
      <c r="F29" s="817"/>
      <c r="G29" s="450"/>
      <c r="H29" s="450"/>
      <c r="I29" s="451"/>
      <c r="J29" s="516"/>
      <c r="K29" s="516"/>
      <c r="L29" s="516"/>
      <c r="M29" s="516"/>
      <c r="N29" s="516"/>
      <c r="O29" s="514" t="s">
        <v>776</v>
      </c>
      <c r="P29" s="516"/>
      <c r="Q29" s="516"/>
      <c r="R29" s="516"/>
      <c r="S29" s="516"/>
      <c r="T29" s="516"/>
      <c r="U29" s="515"/>
      <c r="V29" s="517"/>
      <c r="W29" s="518"/>
      <c r="X29" s="822"/>
      <c r="Y29" s="823"/>
      <c r="Z29" s="823"/>
      <c r="AA29" s="514" t="s">
        <v>776</v>
      </c>
      <c r="AB29" s="519"/>
      <c r="AC29" s="518"/>
      <c r="AD29" s="516"/>
      <c r="AE29" s="516"/>
      <c r="AF29" s="516"/>
      <c r="AG29" s="827"/>
      <c r="AH29" s="515"/>
      <c r="AI29" s="516"/>
      <c r="AJ29" s="515"/>
      <c r="AK29" s="516"/>
      <c r="AL29" s="516"/>
      <c r="AM29" s="515"/>
      <c r="AN29" s="516"/>
      <c r="AO29" s="516"/>
      <c r="AP29" s="516"/>
      <c r="AQ29" s="516"/>
      <c r="AR29" s="516"/>
      <c r="AS29" s="516"/>
    </row>
    <row r="30" spans="1:45" ht="14.25" customHeight="1" thickTop="1">
      <c r="A30" s="514">
        <v>3</v>
      </c>
      <c r="B30" s="515"/>
      <c r="C30" s="450"/>
      <c r="D30" s="814"/>
      <c r="E30" s="814"/>
      <c r="F30" s="814"/>
      <c r="G30" s="450"/>
      <c r="H30" s="450"/>
      <c r="I30" s="451"/>
      <c r="J30" s="516"/>
      <c r="K30" s="516"/>
      <c r="L30" s="516"/>
      <c r="M30" s="516"/>
      <c r="N30" s="516"/>
      <c r="O30" s="514">
        <v>3</v>
      </c>
      <c r="P30" s="516"/>
      <c r="Q30" s="516"/>
      <c r="R30" s="516"/>
      <c r="S30" s="516"/>
      <c r="T30" s="516"/>
      <c r="U30" s="515"/>
      <c r="V30" s="517"/>
      <c r="W30" s="518"/>
      <c r="X30" s="823"/>
      <c r="Y30" s="823"/>
      <c r="Z30" s="823"/>
      <c r="AA30" s="514">
        <v>3</v>
      </c>
      <c r="AB30" s="519"/>
      <c r="AC30" s="518"/>
      <c r="AD30" s="516"/>
      <c r="AE30" s="516"/>
      <c r="AF30" s="516"/>
      <c r="AG30" s="827"/>
      <c r="AH30" s="515"/>
      <c r="AI30" s="516"/>
      <c r="AJ30" s="515"/>
      <c r="AK30" s="516"/>
      <c r="AL30" s="516"/>
      <c r="AM30" s="515"/>
      <c r="AN30" s="516"/>
      <c r="AO30" s="516"/>
      <c r="AP30" s="516"/>
      <c r="AQ30" s="516"/>
      <c r="AR30" s="516"/>
      <c r="AS30" s="516"/>
    </row>
    <row r="31" spans="1:45" ht="14.25" customHeight="1">
      <c r="A31" s="520">
        <v>4</v>
      </c>
      <c r="B31" s="521"/>
      <c r="C31" s="454"/>
      <c r="D31" s="815"/>
      <c r="E31" s="815"/>
      <c r="F31" s="815"/>
      <c r="G31" s="454"/>
      <c r="H31" s="454"/>
      <c r="I31" s="451"/>
      <c r="J31" s="518"/>
      <c r="K31" s="518"/>
      <c r="L31" s="518"/>
      <c r="M31" s="518"/>
      <c r="N31" s="518"/>
      <c r="O31" s="520">
        <v>4</v>
      </c>
      <c r="P31" s="518"/>
      <c r="Q31" s="518"/>
      <c r="R31" s="518"/>
      <c r="S31" s="518"/>
      <c r="T31" s="518"/>
      <c r="U31" s="521"/>
      <c r="V31" s="522"/>
      <c r="W31" s="518"/>
      <c r="X31" s="823"/>
      <c r="Y31" s="823"/>
      <c r="Z31" s="823"/>
      <c r="AA31" s="520">
        <v>4</v>
      </c>
      <c r="AB31" s="523"/>
      <c r="AC31" s="518"/>
      <c r="AD31" s="518"/>
      <c r="AE31" s="518"/>
      <c r="AF31" s="518"/>
      <c r="AG31" s="828"/>
      <c r="AH31" s="521"/>
      <c r="AI31" s="518"/>
      <c r="AJ31" s="521"/>
      <c r="AK31" s="518"/>
      <c r="AL31" s="518"/>
      <c r="AM31" s="521"/>
      <c r="AN31" s="518"/>
      <c r="AO31" s="518"/>
      <c r="AP31" s="518"/>
      <c r="AQ31" s="518"/>
      <c r="AR31" s="518"/>
      <c r="AS31" s="518"/>
    </row>
    <row r="32" spans="1:45" ht="14.25" customHeight="1">
      <c r="A32" s="520">
        <v>5</v>
      </c>
      <c r="B32" s="412"/>
      <c r="C32" s="303"/>
      <c r="D32" s="815"/>
      <c r="E32" s="815"/>
      <c r="F32" s="815"/>
      <c r="G32" s="303"/>
      <c r="H32" s="303"/>
      <c r="I32" s="451"/>
      <c r="J32" s="510"/>
      <c r="K32" s="510"/>
      <c r="L32" s="510"/>
      <c r="M32" s="510"/>
      <c r="N32" s="510"/>
      <c r="O32" s="520">
        <v>5</v>
      </c>
      <c r="P32" s="510"/>
      <c r="Q32" s="510"/>
      <c r="R32" s="510"/>
      <c r="S32" s="510"/>
      <c r="T32" s="510"/>
      <c r="U32" s="412"/>
      <c r="V32" s="511"/>
      <c r="W32" s="518"/>
      <c r="X32" s="823"/>
      <c r="Y32" s="823"/>
      <c r="Z32" s="823"/>
      <c r="AA32" s="520">
        <v>5</v>
      </c>
      <c r="AB32" s="523"/>
      <c r="AC32" s="518"/>
      <c r="AD32" s="510"/>
      <c r="AE32" s="510"/>
      <c r="AF32" s="510"/>
      <c r="AG32" s="826"/>
      <c r="AH32" s="412"/>
      <c r="AI32" s="510"/>
      <c r="AJ32" s="412"/>
      <c r="AK32" s="510"/>
      <c r="AL32" s="510"/>
      <c r="AM32" s="412"/>
      <c r="AN32" s="510"/>
      <c r="AO32" s="510"/>
      <c r="AP32" s="510"/>
      <c r="AQ32" s="510"/>
      <c r="AR32" s="510"/>
      <c r="AS32" s="510"/>
    </row>
    <row r="33" spans="1:45" ht="14.25" customHeight="1">
      <c r="A33" s="520">
        <v>6</v>
      </c>
      <c r="B33" s="515"/>
      <c r="C33" s="450"/>
      <c r="D33" s="816"/>
      <c r="E33" s="816"/>
      <c r="F33" s="816"/>
      <c r="G33" s="450"/>
      <c r="H33" s="450"/>
      <c r="I33" s="1103"/>
      <c r="J33" s="516"/>
      <c r="K33" s="516"/>
      <c r="L33" s="516"/>
      <c r="M33" s="516"/>
      <c r="N33" s="516"/>
      <c r="O33" s="520">
        <v>6</v>
      </c>
      <c r="P33" s="516"/>
      <c r="Q33" s="516"/>
      <c r="R33" s="516"/>
      <c r="S33" s="516"/>
      <c r="T33" s="516"/>
      <c r="U33" s="515"/>
      <c r="V33" s="517"/>
      <c r="W33" s="518"/>
      <c r="X33" s="823"/>
      <c r="Y33" s="823"/>
      <c r="Z33" s="823"/>
      <c r="AA33" s="520">
        <v>6</v>
      </c>
      <c r="AB33" s="523"/>
      <c r="AC33" s="518"/>
      <c r="AD33" s="516"/>
      <c r="AE33" s="516"/>
      <c r="AF33" s="516"/>
      <c r="AG33" s="827"/>
      <c r="AH33" s="515"/>
      <c r="AI33" s="516"/>
      <c r="AJ33" s="515"/>
      <c r="AK33" s="516"/>
      <c r="AL33" s="516"/>
      <c r="AM33" s="515"/>
      <c r="AN33" s="516"/>
      <c r="AO33" s="516"/>
      <c r="AP33" s="516"/>
      <c r="AQ33" s="516"/>
      <c r="AR33" s="516"/>
      <c r="AS33" s="516"/>
    </row>
    <row r="34" spans="1:45" ht="14.25" customHeight="1">
      <c r="A34" s="520">
        <v>7</v>
      </c>
      <c r="B34" s="515"/>
      <c r="C34" s="450"/>
      <c r="D34" s="817"/>
      <c r="E34" s="817"/>
      <c r="F34" s="817"/>
      <c r="G34" s="450"/>
      <c r="H34" s="450"/>
      <c r="I34" s="1104"/>
      <c r="J34" s="516"/>
      <c r="K34" s="516"/>
      <c r="L34" s="516"/>
      <c r="M34" s="516"/>
      <c r="N34" s="516"/>
      <c r="O34" s="520">
        <v>7</v>
      </c>
      <c r="P34" s="516"/>
      <c r="Q34" s="516"/>
      <c r="R34" s="516"/>
      <c r="S34" s="516"/>
      <c r="T34" s="516"/>
      <c r="U34" s="515"/>
      <c r="V34" s="517"/>
      <c r="W34" s="518"/>
      <c r="X34" s="823"/>
      <c r="Y34" s="823"/>
      <c r="Z34" s="823"/>
      <c r="AA34" s="520">
        <v>7</v>
      </c>
      <c r="AB34" s="523"/>
      <c r="AC34" s="518"/>
      <c r="AD34" s="516"/>
      <c r="AE34" s="516"/>
      <c r="AF34" s="516"/>
      <c r="AG34" s="827"/>
      <c r="AH34" s="515"/>
      <c r="AI34" s="516"/>
      <c r="AJ34" s="515"/>
      <c r="AK34" s="516"/>
      <c r="AL34" s="516"/>
      <c r="AM34" s="515"/>
      <c r="AN34" s="516"/>
      <c r="AO34" s="516"/>
      <c r="AP34" s="516"/>
      <c r="AQ34" s="516"/>
      <c r="AR34" s="516"/>
      <c r="AS34" s="516"/>
    </row>
    <row r="35" spans="1:45" ht="14.25" customHeight="1">
      <c r="A35" s="514">
        <v>8</v>
      </c>
      <c r="B35" s="515"/>
      <c r="C35" s="450"/>
      <c r="D35" s="815"/>
      <c r="E35" s="815"/>
      <c r="F35" s="815"/>
      <c r="G35" s="450"/>
      <c r="H35" s="450"/>
      <c r="I35" s="1105"/>
      <c r="J35" s="516"/>
      <c r="K35" s="516"/>
      <c r="L35" s="516"/>
      <c r="M35" s="516"/>
      <c r="N35" s="516"/>
      <c r="O35" s="514">
        <v>8</v>
      </c>
      <c r="P35" s="516"/>
      <c r="Q35" s="516"/>
      <c r="R35" s="516"/>
      <c r="S35" s="516"/>
      <c r="T35" s="516"/>
      <c r="U35" s="515"/>
      <c r="V35" s="517"/>
      <c r="W35" s="518"/>
      <c r="X35" s="823"/>
      <c r="Y35" s="823"/>
      <c r="Z35" s="823"/>
      <c r="AA35" s="514">
        <v>8</v>
      </c>
      <c r="AB35" s="519"/>
      <c r="AC35" s="518"/>
      <c r="AD35" s="516"/>
      <c r="AE35" s="516"/>
      <c r="AF35" s="516"/>
      <c r="AG35" s="827"/>
      <c r="AH35" s="515"/>
      <c r="AI35" s="516"/>
      <c r="AJ35" s="515"/>
      <c r="AK35" s="516"/>
      <c r="AL35" s="516"/>
      <c r="AM35" s="515"/>
      <c r="AN35" s="516"/>
      <c r="AO35" s="516"/>
      <c r="AP35" s="516"/>
      <c r="AQ35" s="516"/>
      <c r="AR35" s="516"/>
      <c r="AS35" s="516"/>
    </row>
    <row r="36" spans="1:45" ht="14.25" customHeight="1">
      <c r="A36" s="520">
        <v>9</v>
      </c>
      <c r="B36" s="521"/>
      <c r="C36" s="454"/>
      <c r="D36" s="815"/>
      <c r="E36" s="815"/>
      <c r="F36" s="815"/>
      <c r="G36" s="454"/>
      <c r="H36" s="454"/>
      <c r="I36" s="1105"/>
      <c r="J36" s="518"/>
      <c r="K36" s="518"/>
      <c r="L36" s="518"/>
      <c r="M36" s="518"/>
      <c r="N36" s="518"/>
      <c r="O36" s="520">
        <v>9</v>
      </c>
      <c r="P36" s="518"/>
      <c r="Q36" s="518"/>
      <c r="R36" s="518"/>
      <c r="S36" s="518"/>
      <c r="T36" s="518"/>
      <c r="U36" s="521"/>
      <c r="V36" s="522"/>
      <c r="W36" s="518"/>
      <c r="X36" s="823"/>
      <c r="Y36" s="823"/>
      <c r="Z36" s="823"/>
      <c r="AA36" s="520">
        <v>9</v>
      </c>
      <c r="AB36" s="523"/>
      <c r="AC36" s="518"/>
      <c r="AD36" s="518"/>
      <c r="AE36" s="518"/>
      <c r="AF36" s="518"/>
      <c r="AG36" s="828"/>
      <c r="AH36" s="521"/>
      <c r="AI36" s="518"/>
      <c r="AJ36" s="521"/>
      <c r="AK36" s="518"/>
      <c r="AL36" s="518"/>
      <c r="AM36" s="521"/>
      <c r="AN36" s="518"/>
      <c r="AO36" s="518"/>
      <c r="AP36" s="518"/>
      <c r="AQ36" s="518"/>
      <c r="AR36" s="518"/>
      <c r="AS36" s="518"/>
    </row>
    <row r="37" spans="1:45" ht="14.25" customHeight="1">
      <c r="A37" s="524">
        <v>10</v>
      </c>
      <c r="B37" s="412"/>
      <c r="C37" s="303"/>
      <c r="D37" s="815"/>
      <c r="E37" s="815"/>
      <c r="F37" s="815"/>
      <c r="G37" s="303"/>
      <c r="H37" s="303"/>
      <c r="I37" s="1105"/>
      <c r="J37" s="510"/>
      <c r="K37" s="510"/>
      <c r="L37" s="510"/>
      <c r="M37" s="510"/>
      <c r="N37" s="510"/>
      <c r="O37" s="524">
        <v>10</v>
      </c>
      <c r="P37" s="510"/>
      <c r="Q37" s="510"/>
      <c r="R37" s="510"/>
      <c r="S37" s="510"/>
      <c r="T37" s="510"/>
      <c r="U37" s="412"/>
      <c r="V37" s="511"/>
      <c r="W37" s="518"/>
      <c r="X37" s="823"/>
      <c r="Y37" s="823"/>
      <c r="Z37" s="823"/>
      <c r="AA37" s="524">
        <v>10</v>
      </c>
      <c r="AB37" s="513"/>
      <c r="AC37" s="510"/>
      <c r="AD37" s="510"/>
      <c r="AE37" s="510"/>
      <c r="AF37" s="510"/>
      <c r="AG37" s="826"/>
      <c r="AH37" s="412"/>
      <c r="AI37" s="510"/>
      <c r="AJ37" s="412"/>
      <c r="AK37" s="510"/>
      <c r="AL37" s="510"/>
      <c r="AM37" s="412"/>
      <c r="AN37" s="510"/>
      <c r="AO37" s="510"/>
      <c r="AP37" s="510"/>
      <c r="AQ37" s="510"/>
      <c r="AR37" s="510"/>
      <c r="AS37" s="510"/>
    </row>
    <row r="38" spans="1:45" ht="14.25" customHeight="1">
      <c r="A38" s="514">
        <v>11</v>
      </c>
      <c r="B38" s="515"/>
      <c r="C38" s="450"/>
      <c r="D38" s="816"/>
      <c r="E38" s="816"/>
      <c r="F38" s="816"/>
      <c r="G38" s="450"/>
      <c r="H38" s="450"/>
      <c r="I38" s="1103"/>
      <c r="J38" s="516"/>
      <c r="K38" s="516"/>
      <c r="L38" s="516"/>
      <c r="M38" s="516"/>
      <c r="N38" s="516"/>
      <c r="O38" s="514">
        <v>11</v>
      </c>
      <c r="P38" s="516"/>
      <c r="Q38" s="516"/>
      <c r="R38" s="516"/>
      <c r="S38" s="516"/>
      <c r="T38" s="516"/>
      <c r="U38" s="515"/>
      <c r="V38" s="517"/>
      <c r="W38" s="518"/>
      <c r="X38" s="823"/>
      <c r="Y38" s="823"/>
      <c r="Z38" s="823"/>
      <c r="AA38" s="514">
        <v>11</v>
      </c>
      <c r="AB38" s="519"/>
      <c r="AC38" s="518"/>
      <c r="AD38" s="516"/>
      <c r="AE38" s="516"/>
      <c r="AF38" s="516"/>
      <c r="AG38" s="827"/>
      <c r="AH38" s="515"/>
      <c r="AI38" s="516"/>
      <c r="AJ38" s="515"/>
      <c r="AK38" s="516"/>
      <c r="AL38" s="516"/>
      <c r="AM38" s="515"/>
      <c r="AN38" s="516"/>
      <c r="AO38" s="516"/>
      <c r="AP38" s="516"/>
      <c r="AQ38" s="516"/>
      <c r="AR38" s="516"/>
      <c r="AS38" s="516"/>
    </row>
    <row r="39" spans="1:45" ht="14.25" customHeight="1">
      <c r="A39" s="514">
        <v>12</v>
      </c>
      <c r="B39" s="515"/>
      <c r="C39" s="450"/>
      <c r="D39" s="817"/>
      <c r="E39" s="817"/>
      <c r="F39" s="817"/>
      <c r="G39" s="450"/>
      <c r="H39" s="450"/>
      <c r="I39" s="1104"/>
      <c r="J39" s="516"/>
      <c r="K39" s="516"/>
      <c r="L39" s="516"/>
      <c r="M39" s="516"/>
      <c r="N39" s="516"/>
      <c r="O39" s="514">
        <v>12</v>
      </c>
      <c r="P39" s="516"/>
      <c r="Q39" s="516"/>
      <c r="R39" s="516"/>
      <c r="S39" s="516"/>
      <c r="T39" s="516"/>
      <c r="U39" s="515"/>
      <c r="V39" s="517"/>
      <c r="W39" s="518"/>
      <c r="X39" s="823"/>
      <c r="Y39" s="823"/>
      <c r="Z39" s="823"/>
      <c r="AA39" s="514">
        <v>12</v>
      </c>
      <c r="AB39" s="519"/>
      <c r="AC39" s="518"/>
      <c r="AD39" s="516"/>
      <c r="AE39" s="516"/>
      <c r="AF39" s="516"/>
      <c r="AG39" s="827"/>
      <c r="AH39" s="515"/>
      <c r="AI39" s="516"/>
      <c r="AJ39" s="515"/>
      <c r="AK39" s="516"/>
      <c r="AL39" s="516"/>
      <c r="AM39" s="515"/>
      <c r="AN39" s="516"/>
      <c r="AO39" s="516"/>
      <c r="AP39" s="516"/>
      <c r="AQ39" s="516"/>
      <c r="AR39" s="516"/>
      <c r="AS39" s="516"/>
    </row>
    <row r="40" spans="1:45" ht="14.25" customHeight="1">
      <c r="A40" s="514">
        <v>13</v>
      </c>
      <c r="B40" s="515"/>
      <c r="C40" s="450"/>
      <c r="D40" s="815"/>
      <c r="E40" s="815"/>
      <c r="F40" s="815"/>
      <c r="G40" s="450"/>
      <c r="H40" s="450"/>
      <c r="I40" s="1105"/>
      <c r="J40" s="516"/>
      <c r="K40" s="516"/>
      <c r="L40" s="516"/>
      <c r="M40" s="516"/>
      <c r="N40" s="516"/>
      <c r="O40" s="514">
        <v>13</v>
      </c>
      <c r="P40" s="516"/>
      <c r="Q40" s="516"/>
      <c r="R40" s="516"/>
      <c r="S40" s="516"/>
      <c r="T40" s="516"/>
      <c r="U40" s="515"/>
      <c r="V40" s="517"/>
      <c r="W40" s="518"/>
      <c r="X40" s="823"/>
      <c r="Y40" s="823"/>
      <c r="Z40" s="823"/>
      <c r="AA40" s="514">
        <v>13</v>
      </c>
      <c r="AB40" s="519"/>
      <c r="AC40" s="518"/>
      <c r="AD40" s="516"/>
      <c r="AE40" s="516"/>
      <c r="AF40" s="516"/>
      <c r="AG40" s="827"/>
      <c r="AH40" s="515"/>
      <c r="AI40" s="516"/>
      <c r="AJ40" s="515"/>
      <c r="AK40" s="516"/>
      <c r="AL40" s="516"/>
      <c r="AM40" s="515"/>
      <c r="AN40" s="516"/>
      <c r="AO40" s="516"/>
      <c r="AP40" s="516"/>
      <c r="AQ40" s="516"/>
      <c r="AR40" s="516"/>
      <c r="AS40" s="516"/>
    </row>
    <row r="41" spans="1:45" ht="14.25" customHeight="1">
      <c r="A41" s="520">
        <v>14</v>
      </c>
      <c r="B41" s="521"/>
      <c r="C41" s="454"/>
      <c r="D41" s="815"/>
      <c r="E41" s="815"/>
      <c r="F41" s="815"/>
      <c r="G41" s="454"/>
      <c r="H41" s="454"/>
      <c r="I41" s="1105"/>
      <c r="J41" s="518"/>
      <c r="K41" s="518"/>
      <c r="L41" s="518"/>
      <c r="M41" s="518"/>
      <c r="N41" s="518"/>
      <c r="O41" s="520">
        <v>14</v>
      </c>
      <c r="P41" s="518"/>
      <c r="Q41" s="518"/>
      <c r="R41" s="518"/>
      <c r="S41" s="518"/>
      <c r="T41" s="518"/>
      <c r="U41" s="521"/>
      <c r="V41" s="522"/>
      <c r="W41" s="518"/>
      <c r="X41" s="823"/>
      <c r="Y41" s="823"/>
      <c r="Z41" s="823"/>
      <c r="AA41" s="520">
        <v>14</v>
      </c>
      <c r="AB41" s="523"/>
      <c r="AC41" s="518"/>
      <c r="AD41" s="518"/>
      <c r="AE41" s="518"/>
      <c r="AF41" s="518"/>
      <c r="AG41" s="828"/>
      <c r="AH41" s="521"/>
      <c r="AI41" s="518"/>
      <c r="AJ41" s="521"/>
      <c r="AK41" s="518"/>
      <c r="AL41" s="518"/>
      <c r="AM41" s="521"/>
      <c r="AN41" s="518"/>
      <c r="AO41" s="518"/>
      <c r="AP41" s="518"/>
      <c r="AQ41" s="518"/>
      <c r="AR41" s="518"/>
      <c r="AS41" s="518"/>
    </row>
    <row r="42" spans="1:45" ht="15.75">
      <c r="D42" s="815"/>
      <c r="E42" s="815"/>
      <c r="F42" s="815"/>
      <c r="I42" s="1105"/>
      <c r="X42" s="823"/>
      <c r="Y42" s="823"/>
      <c r="Z42" s="823"/>
      <c r="AG42" s="828"/>
    </row>
    <row r="43" spans="1:45" ht="15.75">
      <c r="D43" s="816"/>
      <c r="E43" s="816"/>
      <c r="F43" s="816"/>
      <c r="I43" s="1103"/>
      <c r="Y43" s="3"/>
      <c r="Z43" s="6"/>
    </row>
    <row r="44" spans="1:45" ht="15.75">
      <c r="D44" s="816"/>
      <c r="E44" s="816"/>
      <c r="F44" s="816"/>
      <c r="I44" s="1103"/>
    </row>
  </sheetData>
  <customSheetViews>
    <customSheetView guid="{9C153D9E-615C-443B-9CD7-551163282F03}" scale="124" showPageBreaks="1" view="pageLayout" topLeftCell="X3">
      <selection activeCell="Z5" sqref="Z5"/>
      <colBreaks count="2" manualBreakCount="2">
        <brk id="12" max="1048575" man="1"/>
        <brk id="21" max="1048575" man="1"/>
      </colBreaks>
      <pageMargins left="0" right="0" top="0" bottom="0" header="0" footer="0"/>
      <pageSetup firstPageNumber="14" orientation="landscape" r:id="rId1"/>
      <headerFooter>
        <oddFooter>&amp;C&amp;P</oddFooter>
      </headerFooter>
    </customSheetView>
    <customSheetView guid="{BE9F68F7-D81B-4526-9959-D871EC50BDFF}" scale="124" showPageBreaks="1" view="pageLayout">
      <selection activeCell="E5" sqref="E5:E20"/>
      <colBreaks count="2" manualBreakCount="2">
        <brk id="12" max="1048575" man="1"/>
        <brk id="21" max="1048575" man="1"/>
      </colBreaks>
      <pageMargins left="0" right="0" top="0" bottom="0" header="0" footer="0"/>
      <pageSetup firstPageNumber="14" orientation="landscape" r:id="rId2"/>
      <headerFooter>
        <oddFooter>&amp;C&amp;P</oddFooter>
      </headerFooter>
    </customSheetView>
    <customSheetView guid="{EF790C5B-80DA-4544-9EB7-EFE0323B2298}" scale="160" showPageBreaks="1" view="pageLayout" topLeftCell="R3">
      <selection activeCell="Y22" sqref="Y22"/>
      <colBreaks count="2" manualBreakCount="2">
        <brk id="12" max="1048575" man="1"/>
        <brk id="21" max="1048575" man="1"/>
      </colBreaks>
      <pageMargins left="0" right="0" top="0" bottom="0" header="0" footer="0"/>
      <pageSetup firstPageNumber="14" orientation="landscape" r:id="rId3"/>
      <headerFooter>
        <oddFooter>&amp;C&amp;P</oddFooter>
      </headerFooter>
    </customSheetView>
    <customSheetView guid="{C9D2DBB1-CD01-4732-8C86-64BE16C94753}" showPageBreaks="1" view="pageBreakPreview">
      <selection activeCell="A4" sqref="A4:A25"/>
      <colBreaks count="2" manualBreakCount="2">
        <brk id="12" max="1048575" man="1"/>
        <brk id="21" max="1048575" man="1"/>
      </colBreaks>
      <pageMargins left="0" right="0" top="0" bottom="0" header="0" footer="0"/>
      <pageSetup firstPageNumber="14" orientation="landscape" r:id="rId4"/>
      <headerFooter>
        <oddFooter>&amp;C&amp;P</oddFooter>
      </headerFooter>
    </customSheetView>
    <customSheetView guid="{BFEC163F-7C4E-49B7-9F32-15225772E72F}" showPageBreaks="1" view="pageBreakPreview" topLeftCell="O1">
      <selection activeCell="AK21" sqref="AK21:AL23"/>
      <colBreaks count="2" manualBreakCount="2">
        <brk id="12" max="1048575" man="1"/>
        <brk id="21" max="1048575" man="1"/>
      </colBreaks>
      <pageMargins left="0" right="0" top="0" bottom="0" header="0" footer="0"/>
      <pageSetup firstPageNumber="14" orientation="landscape" r:id="rId5"/>
      <headerFooter>
        <oddFooter>&amp;C&amp;P</oddFooter>
      </headerFooter>
    </customSheetView>
    <customSheetView guid="{5529DB6B-163A-4048-9107-267B30B97DF3}" showPageBreaks="1" view="pageBreakPreview" topLeftCell="Q1">
      <selection activeCell="AK21" sqref="AK21:AL23"/>
      <colBreaks count="2" manualBreakCount="2">
        <brk id="12" max="1048575" man="1"/>
        <brk id="21" max="1048575" man="1"/>
      </colBreaks>
      <pageMargins left="0" right="0" top="0" bottom="0" header="0" footer="0"/>
      <pageSetup firstPageNumber="14" orientation="landscape" r:id="rId6"/>
      <headerFooter>
        <oddFooter>&amp;C&amp;P</oddFooter>
      </headerFooter>
    </customSheetView>
    <customSheetView guid="{9B0763AA-FA4B-479A-900C-C113E8BEEFEB}" scale="160" showPageBreaks="1" view="pageLayout" topLeftCell="J4">
      <selection activeCell="AD13" sqref="AD13:AD25"/>
      <colBreaks count="2" manualBreakCount="2">
        <brk id="12" max="1048575" man="1"/>
        <brk id="21" max="1048575" man="1"/>
      </colBreaks>
      <pageMargins left="0" right="0" top="0" bottom="0" header="0" footer="0"/>
      <pageSetup firstPageNumber="14" orientation="landscape" r:id="rId7"/>
      <headerFooter>
        <oddFooter>&amp;C&amp;P</oddFooter>
      </headerFooter>
    </customSheetView>
    <customSheetView guid="{89903799-8228-4A6D-8A81-7F80BC61226D}" scale="160" showPageBreaks="1" view="pageLayout" topLeftCell="Q4">
      <selection activeCell="AI5" sqref="AI5:AI16"/>
      <colBreaks count="2" manualBreakCount="2">
        <brk id="12" max="1048575" man="1"/>
        <brk id="21" max="1048575" man="1"/>
      </colBreaks>
      <pageMargins left="0" right="0" top="0" bottom="0" header="0" footer="0"/>
      <pageSetup firstPageNumber="14" orientation="landscape" r:id="rId8"/>
      <headerFooter>
        <oddFooter>&amp;C&amp;P</oddFooter>
      </headerFooter>
    </customSheetView>
    <customSheetView guid="{2524630E-605A-4616-AD5D-6CF7B1E9752C}" scale="160" showPageBreaks="1" view="pageLayout" topLeftCell="R3">
      <selection activeCell="Y22" sqref="Y22"/>
      <colBreaks count="2" manualBreakCount="2">
        <brk id="12" max="1048575" man="1"/>
        <brk id="21" max="1048575" man="1"/>
      </colBreaks>
      <pageMargins left="0" right="0" top="0" bottom="0" header="0" footer="0"/>
      <pageSetup firstPageNumber="14" orientation="landscape" r:id="rId9"/>
      <headerFooter>
        <oddFooter>&amp;C&amp;P</oddFooter>
      </headerFooter>
    </customSheetView>
  </customSheetViews>
  <mergeCells count="86">
    <mergeCell ref="AC5:AC8"/>
    <mergeCell ref="AC13:AC14"/>
    <mergeCell ref="AC15:AC16"/>
    <mergeCell ref="AB6:AB12"/>
    <mergeCell ref="Y20:Y21"/>
    <mergeCell ref="Y5:Y8"/>
    <mergeCell ref="Z5:Z8"/>
    <mergeCell ref="Y14:Y15"/>
    <mergeCell ref="Z9:Z10"/>
    <mergeCell ref="Z12:Z13"/>
    <mergeCell ref="Z14:Z15"/>
    <mergeCell ref="Y12:Y13"/>
    <mergeCell ref="Y22:Y23"/>
    <mergeCell ref="P5:P20"/>
    <mergeCell ref="AQ5:AQ18"/>
    <mergeCell ref="E5:E20"/>
    <mergeCell ref="F5:F20"/>
    <mergeCell ref="W5:W6"/>
    <mergeCell ref="X5:X8"/>
    <mergeCell ref="Q15:Q16"/>
    <mergeCell ref="Q19:Q20"/>
    <mergeCell ref="I5:I26"/>
    <mergeCell ref="E21:E26"/>
    <mergeCell ref="Q5:Q8"/>
    <mergeCell ref="M5:M18"/>
    <mergeCell ref="N5:N14"/>
    <mergeCell ref="Z18:Z19"/>
    <mergeCell ref="X9:X10"/>
    <mergeCell ref="R5:R20"/>
    <mergeCell ref="AR4:AS4"/>
    <mergeCell ref="R23:R26"/>
    <mergeCell ref="AQ23:AQ26"/>
    <mergeCell ref="AR13:AS14"/>
    <mergeCell ref="AR19:AS19"/>
    <mergeCell ref="AH4:AI4"/>
    <mergeCell ref="T5:T13"/>
    <mergeCell ref="U5:U6"/>
    <mergeCell ref="AN13:AN27"/>
    <mergeCell ref="AF5:AF9"/>
    <mergeCell ref="AO5:AO8"/>
    <mergeCell ref="AI13:AI27"/>
    <mergeCell ref="AF12:AF13"/>
    <mergeCell ref="Y17:Y18"/>
    <mergeCell ref="Z16:Z17"/>
    <mergeCell ref="A4:A27"/>
    <mergeCell ref="O4:O27"/>
    <mergeCell ref="AA4:AA27"/>
    <mergeCell ref="J5:J19"/>
    <mergeCell ref="L5:L20"/>
    <mergeCell ref="C5:C20"/>
    <mergeCell ref="G5:G20"/>
    <mergeCell ref="H5:H20"/>
    <mergeCell ref="K5:K21"/>
    <mergeCell ref="B5:B27"/>
    <mergeCell ref="S5:S21"/>
    <mergeCell ref="S23:S26"/>
    <mergeCell ref="V5:V13"/>
    <mergeCell ref="F21:F26"/>
    <mergeCell ref="D5:D20"/>
    <mergeCell ref="D21:D26"/>
    <mergeCell ref="AR17:AS18"/>
    <mergeCell ref="AP26:AP27"/>
    <mergeCell ref="AF14:AF15"/>
    <mergeCell ref="AO15:AO16"/>
    <mergeCell ref="AP5:AP16"/>
    <mergeCell ref="AQ21:AQ22"/>
    <mergeCell ref="AO13:AO14"/>
    <mergeCell ref="AR5:AS7"/>
    <mergeCell ref="AH10:AN10"/>
    <mergeCell ref="AR10:AS12"/>
    <mergeCell ref="AH11:AN12"/>
    <mergeCell ref="AM13:AM27"/>
    <mergeCell ref="AR21:AS23"/>
    <mergeCell ref="AR26:AS26"/>
    <mergeCell ref="AG5:AG8"/>
    <mergeCell ref="AR15:AS16"/>
    <mergeCell ref="AD15:AD18"/>
    <mergeCell ref="AE15:AE18"/>
    <mergeCell ref="AJ13:AJ27"/>
    <mergeCell ref="AH5:AN6"/>
    <mergeCell ref="AL13:AL27"/>
    <mergeCell ref="AK13:AK27"/>
    <mergeCell ref="AD5:AD11"/>
    <mergeCell ref="AG15:AG26"/>
    <mergeCell ref="AG9:AG12"/>
    <mergeCell ref="AH13:AH27"/>
  </mergeCells>
  <pageMargins left="0.314" right="0.314" top="0.11799999999999999" bottom="0.27500000000000002" header="0.157" footer="0.11799999999999999"/>
  <pageSetup scale="84" firstPageNumber="14" fitToWidth="0" orientation="landscape" r:id="rId10"/>
  <headerFooter>
    <oddFooter>&amp;C&amp;P</oddFooter>
  </headerFooter>
  <colBreaks count="2" manualBreakCount="2">
    <brk id="16" max="43" man="1"/>
    <brk id="28" max="43"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BH90"/>
  <sheetViews>
    <sheetView view="pageBreakPreview" topLeftCell="AT4" zoomScaleNormal="100" zoomScaleSheetLayoutView="100" workbookViewId="0">
      <selection activeCell="AX5" sqref="AX5:AX13"/>
    </sheetView>
  </sheetViews>
  <sheetFormatPr defaultColWidth="9.140625" defaultRowHeight="15.75"/>
  <cols>
    <col min="1" max="1" width="3.5703125" style="841" customWidth="1"/>
    <col min="2" max="2" width="24.5703125" style="1" customWidth="1"/>
    <col min="3" max="3" width="9" style="1" customWidth="1"/>
    <col min="4" max="4" width="17.5703125" style="1" customWidth="1"/>
    <col min="5" max="5" width="8" style="1" customWidth="1"/>
    <col min="6" max="6" width="15.85546875" style="1" customWidth="1"/>
    <col min="7" max="7" width="9.7109375" style="1" customWidth="1"/>
    <col min="8" max="8" width="9.28515625" style="838" customWidth="1"/>
    <col min="9" max="9" width="7.28515625" style="838" customWidth="1"/>
    <col min="10" max="10" width="7.7109375" style="838" customWidth="1"/>
    <col min="11" max="11" width="7.140625" style="1" customWidth="1"/>
    <col min="12" max="12" width="10.28515625" style="1" customWidth="1"/>
    <col min="13" max="13" width="3.5703125" style="841" customWidth="1"/>
    <col min="14" max="14" width="10.7109375" style="838" customWidth="1"/>
    <col min="15" max="15" width="23.140625" style="1" customWidth="1"/>
    <col min="16" max="16" width="8.140625" style="1" customWidth="1"/>
    <col min="17" max="17" width="8.85546875" style="1" customWidth="1"/>
    <col min="18" max="19" width="10.7109375" style="838" customWidth="1"/>
    <col min="20" max="20" width="10.7109375" style="1" customWidth="1"/>
    <col min="21" max="21" width="1.42578125" style="1" customWidth="1"/>
    <col min="22" max="22" width="14.7109375" style="1" customWidth="1"/>
    <col min="23" max="23" width="12" style="1" bestFit="1" customWidth="1"/>
    <col min="24" max="24" width="10.7109375" style="1" customWidth="1"/>
    <col min="25" max="25" width="1.140625" style="1" customWidth="1"/>
    <col min="26" max="26" width="1.5703125" style="1" customWidth="1"/>
    <col min="27" max="27" width="9.5703125" style="1" customWidth="1"/>
    <col min="28" max="28" width="3" style="1" customWidth="1"/>
    <col min="29" max="29" width="2.7109375" style="1" customWidth="1"/>
    <col min="30" max="30" width="3" style="1" customWidth="1"/>
    <col min="31" max="31" width="3.5703125" style="841" customWidth="1"/>
    <col min="32" max="32" width="15.7109375" style="1" customWidth="1"/>
    <col min="33" max="33" width="1.140625" style="1" customWidth="1"/>
    <col min="34" max="34" width="1.5703125" style="1" customWidth="1"/>
    <col min="35" max="35" width="15.7109375" style="1" customWidth="1"/>
    <col min="36" max="36" width="3" style="1" customWidth="1"/>
    <col min="37" max="37" width="2.7109375" style="1" customWidth="1"/>
    <col min="38" max="38" width="6.42578125" style="1" customWidth="1"/>
    <col min="39" max="39" width="1.42578125" style="1" customWidth="1"/>
    <col min="40" max="40" width="15.7109375" style="1" customWidth="1"/>
    <col min="41" max="41" width="2.7109375" style="1" customWidth="1"/>
    <col min="42" max="42" width="15.7109375" style="1" customWidth="1"/>
    <col min="43" max="43" width="7.28515625" style="1" customWidth="1"/>
    <col min="44" max="44" width="4.28515625" style="1" customWidth="1"/>
    <col min="45" max="45" width="10.28515625" style="1" customWidth="1"/>
    <col min="46" max="46" width="14.28515625" style="1" customWidth="1"/>
    <col min="47" max="47" width="8.42578125" style="1" customWidth="1"/>
    <col min="48" max="48" width="7.7109375" style="1" bestFit="1" customWidth="1"/>
    <col min="49" max="49" width="11.140625" style="1" customWidth="1"/>
    <col min="50" max="50" width="15.28515625" style="838" customWidth="1"/>
    <col min="51" max="51" width="6.85546875" style="1" bestFit="1" customWidth="1"/>
    <col min="52" max="52" width="7.42578125" style="1" customWidth="1"/>
    <col min="53" max="53" width="12" style="1" customWidth="1"/>
    <col min="54" max="54" width="21" style="1" customWidth="1"/>
    <col min="55" max="55" width="9.7109375" style="1" customWidth="1"/>
    <col min="56" max="56" width="7.42578125" style="1" customWidth="1"/>
    <col min="57" max="57" width="10.85546875" style="838" customWidth="1"/>
    <col min="58" max="58" width="12.85546875" style="838" customWidth="1"/>
    <col min="59" max="59" width="11.42578125" style="841" customWidth="1"/>
    <col min="60" max="16384" width="9.140625" style="769"/>
  </cols>
  <sheetData>
    <row r="1" spans="1:60" ht="15.75" customHeight="1">
      <c r="A1" s="1159" t="s">
        <v>777</v>
      </c>
      <c r="B1" s="818"/>
      <c r="C1" s="818"/>
      <c r="D1" s="818"/>
      <c r="E1" s="818"/>
      <c r="F1" s="818"/>
      <c r="G1" s="818"/>
      <c r="H1" s="829"/>
      <c r="I1" s="829"/>
      <c r="J1" s="829"/>
      <c r="K1" s="818"/>
      <c r="L1" s="1161"/>
      <c r="M1" s="1159" t="s">
        <v>777</v>
      </c>
      <c r="N1" s="829"/>
      <c r="O1" s="818"/>
      <c r="P1" s="818"/>
      <c r="Q1" s="818"/>
      <c r="R1" s="829"/>
      <c r="S1" s="829"/>
      <c r="T1" s="818"/>
      <c r="U1" s="818"/>
      <c r="V1" s="818"/>
      <c r="W1" s="818"/>
      <c r="X1" s="818"/>
      <c r="Y1" s="818"/>
      <c r="Z1" s="818"/>
      <c r="AA1" s="818"/>
      <c r="AB1" s="818"/>
      <c r="AC1" s="818"/>
      <c r="AD1" s="818"/>
      <c r="AE1" s="1159" t="s">
        <v>777</v>
      </c>
      <c r="AF1" s="818"/>
      <c r="AG1" s="818"/>
      <c r="AH1" s="818"/>
      <c r="AI1" s="818"/>
      <c r="AJ1" s="818"/>
      <c r="AK1" s="818"/>
      <c r="AL1" s="818"/>
      <c r="AM1" s="818"/>
      <c r="AN1" s="818"/>
      <c r="AO1" s="818"/>
      <c r="AP1" s="818"/>
      <c r="AQ1" s="818"/>
      <c r="AR1" s="818"/>
      <c r="AS1" s="818"/>
      <c r="AT1" s="818"/>
      <c r="AU1" s="818"/>
      <c r="AV1" s="818"/>
      <c r="AW1" s="818"/>
      <c r="AX1" s="818"/>
      <c r="AY1" s="829"/>
      <c r="AZ1" s="818"/>
      <c r="BA1" s="818"/>
      <c r="BB1" s="818"/>
      <c r="BC1" s="818"/>
      <c r="BD1" s="818"/>
      <c r="BE1" s="818"/>
      <c r="BF1" s="829"/>
      <c r="BG1" s="829"/>
      <c r="BH1" s="839"/>
    </row>
    <row r="2" spans="1:60" ht="15.75" customHeight="1">
      <c r="A2" s="1159" t="s">
        <v>891</v>
      </c>
      <c r="B2" s="819"/>
      <c r="C2" s="819"/>
      <c r="D2" s="819"/>
      <c r="E2" s="819"/>
      <c r="F2" s="825"/>
      <c r="G2" s="825"/>
      <c r="H2" s="1499"/>
      <c r="I2" s="1499"/>
      <c r="J2" s="1499"/>
      <c r="K2" s="819"/>
      <c r="L2" s="1161"/>
      <c r="M2" s="1159" t="s">
        <v>891</v>
      </c>
      <c r="N2" s="1499"/>
      <c r="O2" s="819"/>
      <c r="P2" s="819"/>
      <c r="Q2" s="819"/>
      <c r="R2" s="1499"/>
      <c r="S2" s="1499"/>
      <c r="T2" s="825"/>
      <c r="U2" s="819"/>
      <c r="V2" s="819"/>
      <c r="W2" s="819"/>
      <c r="X2" s="825"/>
      <c r="Y2" s="825"/>
      <c r="Z2" s="825"/>
      <c r="AA2" s="825"/>
      <c r="AB2" s="825"/>
      <c r="AC2" s="825"/>
      <c r="AD2" s="825"/>
      <c r="AE2" s="1159" t="s">
        <v>891</v>
      </c>
      <c r="AF2" s="825"/>
      <c r="AG2" s="825"/>
      <c r="AH2" s="825"/>
      <c r="AI2" s="825"/>
      <c r="AJ2" s="825"/>
      <c r="AK2" s="825"/>
      <c r="AL2" s="825"/>
      <c r="AM2" s="825"/>
      <c r="AN2" s="825"/>
      <c r="AO2" s="825"/>
      <c r="AP2" s="825"/>
      <c r="AQ2" s="825"/>
      <c r="AR2" s="825"/>
      <c r="AS2" s="825"/>
      <c r="AT2" s="825"/>
      <c r="AU2" s="830"/>
      <c r="AV2" s="825"/>
      <c r="AW2" s="825"/>
      <c r="AX2" s="825"/>
      <c r="AY2" s="1499"/>
      <c r="AZ2" s="825"/>
      <c r="BA2" s="825"/>
      <c r="BB2" s="825"/>
      <c r="BC2" s="825"/>
      <c r="BD2" s="825"/>
      <c r="BE2" s="825"/>
      <c r="BF2" s="1500"/>
      <c r="BG2" s="1500"/>
      <c r="BH2" s="840"/>
    </row>
    <row r="3" spans="1:60">
      <c r="A3" s="1160"/>
      <c r="B3" s="819"/>
      <c r="C3" s="819"/>
      <c r="D3" s="819"/>
      <c r="E3" s="819"/>
      <c r="F3" s="825"/>
      <c r="G3" s="825"/>
      <c r="H3" s="1499"/>
      <c r="I3" s="1499"/>
      <c r="J3" s="1499"/>
      <c r="K3" s="819"/>
      <c r="L3" s="819"/>
      <c r="M3" s="1160"/>
      <c r="N3" s="1499"/>
      <c r="O3" s="819"/>
      <c r="P3" s="819"/>
      <c r="Q3" s="819"/>
      <c r="R3" s="1499"/>
      <c r="S3" s="1499"/>
      <c r="T3" s="825"/>
      <c r="U3" s="819"/>
      <c r="V3" s="819"/>
      <c r="W3" s="819"/>
      <c r="X3" s="825"/>
      <c r="Y3" s="825"/>
      <c r="Z3" s="825"/>
      <c r="AA3" s="825"/>
      <c r="AB3" s="825"/>
      <c r="AC3" s="825"/>
      <c r="AD3" s="825"/>
      <c r="AE3" s="1160"/>
      <c r="AF3" s="825"/>
      <c r="AG3" s="825"/>
      <c r="AH3" s="825"/>
      <c r="AI3" s="825"/>
      <c r="AJ3" s="825"/>
      <c r="AK3" s="825"/>
      <c r="AL3" s="825"/>
      <c r="AM3" s="825"/>
      <c r="AN3" s="825"/>
      <c r="AO3" s="825"/>
      <c r="AP3" s="825"/>
      <c r="AQ3" s="825"/>
      <c r="AR3" s="830"/>
      <c r="AS3" s="830"/>
      <c r="AT3" s="830"/>
      <c r="AU3" s="825"/>
      <c r="AV3" s="825"/>
      <c r="AW3" s="825"/>
      <c r="AX3" s="825"/>
      <c r="AY3" s="1499"/>
      <c r="AZ3" s="825"/>
      <c r="BA3" s="825"/>
      <c r="BB3" s="825"/>
      <c r="BC3" s="825"/>
      <c r="BD3" s="825"/>
      <c r="BE3" s="825"/>
      <c r="BF3" s="1499"/>
      <c r="BG3" s="1499"/>
      <c r="BH3" s="841"/>
    </row>
    <row r="4" spans="1:60" ht="13.5" customHeight="1">
      <c r="A4" s="2477" t="s">
        <v>187</v>
      </c>
      <c r="B4" s="1120">
        <f>S04_Emploi_A!AR4+0.01</f>
        <v>4.2899999999999938</v>
      </c>
      <c r="C4" s="1122"/>
      <c r="D4" s="1121">
        <f>B4+0.01</f>
        <v>4.2999999999999936</v>
      </c>
      <c r="E4" s="1120"/>
      <c r="F4" s="1117">
        <f>D4+0.01</f>
        <v>4.3099999999999934</v>
      </c>
      <c r="G4" s="1117">
        <f t="shared" ref="G4:L4" si="0">F4+0.01</f>
        <v>4.3199999999999932</v>
      </c>
      <c r="H4" s="1117">
        <f t="shared" si="0"/>
        <v>4.329999999999993</v>
      </c>
      <c r="I4" s="1120">
        <f t="shared" si="0"/>
        <v>4.3399999999999928</v>
      </c>
      <c r="J4" s="1117">
        <f t="shared" si="0"/>
        <v>4.3499999999999925</v>
      </c>
      <c r="K4" s="1117">
        <f t="shared" si="0"/>
        <v>4.3599999999999923</v>
      </c>
      <c r="L4" s="1117">
        <f t="shared" si="0"/>
        <v>4.3699999999999921</v>
      </c>
      <c r="M4" s="2473" t="s">
        <v>187</v>
      </c>
      <c r="N4" s="1121">
        <f>L4+0.01</f>
        <v>4.3799999999999919</v>
      </c>
      <c r="O4" s="1117">
        <f>N4+0.01</f>
        <v>4.3899999999999917</v>
      </c>
      <c r="P4" s="1117" t="str">
        <f>CONCATENATE("(",TEXT($O$4,",00"),P42,")")</f>
        <v>(4,39a)</v>
      </c>
      <c r="Q4" s="1117" t="str">
        <f>CONCATENATE("(",TEXT($O$4,"0,00"),Q42,")")</f>
        <v>(4,39b)</v>
      </c>
      <c r="R4" s="1117">
        <f>O4+0.01</f>
        <v>4.3999999999999915</v>
      </c>
      <c r="S4" s="1117">
        <f>R4+0.01</f>
        <v>4.4099999999999913</v>
      </c>
      <c r="T4" s="1122">
        <f>S4+0.01</f>
        <v>4.419999999999991</v>
      </c>
      <c r="U4" s="2460">
        <f>T4+0.01</f>
        <v>4.4299999999999908</v>
      </c>
      <c r="V4" s="3172"/>
      <c r="W4" s="794"/>
      <c r="X4" s="1121">
        <f>U4+0.01</f>
        <v>4.4399999999999906</v>
      </c>
      <c r="Y4" s="2460">
        <f>X4+0.01</f>
        <v>4.4499999999999904</v>
      </c>
      <c r="Z4" s="3172"/>
      <c r="AA4" s="3172"/>
      <c r="AB4" s="903"/>
      <c r="AC4" s="903"/>
      <c r="AD4" s="794"/>
      <c r="AE4" s="2473" t="s">
        <v>187</v>
      </c>
      <c r="AF4" s="1117">
        <f>Y4+0.01</f>
        <v>4.4599999999999902</v>
      </c>
      <c r="AG4" s="2460">
        <f>AF4+0.01</f>
        <v>4.46999999999999</v>
      </c>
      <c r="AH4" s="3172"/>
      <c r="AI4" s="3172"/>
      <c r="AJ4" s="903"/>
      <c r="AK4" s="903"/>
      <c r="AL4" s="794"/>
      <c r="AM4" s="2460">
        <f>AG4+0.01</f>
        <v>4.4799999999999898</v>
      </c>
      <c r="AN4" s="2494"/>
      <c r="AO4" s="2460">
        <f>AM4+0.01</f>
        <v>4.4899999999999896</v>
      </c>
      <c r="AP4" s="2491"/>
      <c r="AQ4" s="1122"/>
      <c r="AR4" s="2474" t="s">
        <v>187</v>
      </c>
      <c r="AS4" s="1927" t="str">
        <f>CONCATENATE("(",LEFT(TEXT(AO4,"0,00"), 4), "bis)")</f>
        <v>(4,49bis)</v>
      </c>
      <c r="AT4" s="1927" t="str">
        <f>CONCATENATE("(",LEFT(TEXT(AO4,"0,00"), 4), "a)")</f>
        <v>(4,49a)</v>
      </c>
      <c r="AU4" s="1120" t="str">
        <f>CONCATENATE("(",LEFT(AO4, 4), "b)")</f>
        <v>(4,48b)</v>
      </c>
      <c r="AV4" s="1121" t="str">
        <f>CONCATENATE("(",LEFT(AO4, 4), "c)")</f>
        <v>(4,48c)</v>
      </c>
      <c r="AW4" s="1122"/>
      <c r="AX4" s="1122" t="str">
        <f>CONCATENATE("(",LEFT(AO4, 4), "d)")</f>
        <v>(4,48d)</v>
      </c>
      <c r="AY4" s="1117" t="str">
        <f>CONCATENATE("(",LEFT(AO4, 4), "e)")</f>
        <v>(4,48e)</v>
      </c>
      <c r="AZ4" s="1121" t="str">
        <f>CONCATENATE("(",LEFT(AO4, 4), "f)")</f>
        <v>(4,48f)</v>
      </c>
      <c r="BA4" s="1122"/>
      <c r="BB4" s="1122" t="str">
        <f>CONCATENATE("(",LEFT(AO4, 4), "h)")</f>
        <v>(4,48h)</v>
      </c>
      <c r="BC4" s="1117" t="str">
        <f>CONCATENATE("(",LEFT(AO4, 4), "i)")</f>
        <v>(4,48i)</v>
      </c>
      <c r="BD4" s="1121" t="str">
        <f>CONCATENATE("(",LEFT(AO4, 4), "j)")</f>
        <v>(4,48j)</v>
      </c>
      <c r="BE4" s="1122"/>
      <c r="BF4" s="1117">
        <f>AO4+0.01</f>
        <v>4.4999999999999893</v>
      </c>
      <c r="BG4" s="1121" t="str">
        <f>CONCATENATE("(",TEXT(BF4,"0,00"), "a)")</f>
        <v>(4,50a)</v>
      </c>
      <c r="BH4" s="1121" t="str">
        <f>CONCATENATE("(",TEXT(BF4,"0,00"), "b)")</f>
        <v>(4,50b)</v>
      </c>
    </row>
    <row r="5" spans="1:60" ht="12.75" customHeight="1">
      <c r="A5" s="2478"/>
      <c r="B5" s="2447" t="s">
        <v>892</v>
      </c>
      <c r="C5" s="2237"/>
      <c r="D5" s="2236" t="s">
        <v>893</v>
      </c>
      <c r="E5" s="2238"/>
      <c r="F5" s="2199" t="s">
        <v>894</v>
      </c>
      <c r="G5" s="2199" t="s">
        <v>895</v>
      </c>
      <c r="H5" s="2199" t="s">
        <v>896</v>
      </c>
      <c r="I5" s="2238" t="s">
        <v>897</v>
      </c>
      <c r="J5" s="2199" t="s">
        <v>898</v>
      </c>
      <c r="K5" s="2482" t="s">
        <v>899</v>
      </c>
      <c r="L5" s="2482" t="s">
        <v>900</v>
      </c>
      <c r="M5" s="2474"/>
      <c r="N5" s="2199" t="s">
        <v>901</v>
      </c>
      <c r="O5" s="2199" t="s">
        <v>902</v>
      </c>
      <c r="P5" s="2199" t="s">
        <v>903</v>
      </c>
      <c r="Q5" s="2199" t="s">
        <v>904</v>
      </c>
      <c r="R5" s="2199" t="s">
        <v>905</v>
      </c>
      <c r="S5" s="2199" t="s">
        <v>906</v>
      </c>
      <c r="T5" s="2476" t="s">
        <v>907</v>
      </c>
      <c r="U5" s="2238" t="s">
        <v>908</v>
      </c>
      <c r="V5" s="2238"/>
      <c r="W5" s="2237"/>
      <c r="X5" s="2199" t="s">
        <v>909</v>
      </c>
      <c r="Y5" s="2464" t="s">
        <v>910</v>
      </c>
      <c r="Z5" s="2465"/>
      <c r="AA5" s="2465"/>
      <c r="AB5" s="2465"/>
      <c r="AC5" s="2465"/>
      <c r="AD5" s="2466"/>
      <c r="AE5" s="2474"/>
      <c r="AF5" s="2199" t="s">
        <v>911</v>
      </c>
      <c r="AG5" s="2464" t="s">
        <v>912</v>
      </c>
      <c r="AH5" s="2465"/>
      <c r="AI5" s="2465"/>
      <c r="AJ5" s="2465"/>
      <c r="AK5" s="2465"/>
      <c r="AL5" s="2466"/>
      <c r="AM5" s="2236" t="s">
        <v>913</v>
      </c>
      <c r="AN5" s="2237"/>
      <c r="AO5" s="2495" t="s">
        <v>914</v>
      </c>
      <c r="AP5" s="2496"/>
      <c r="AQ5" s="2497"/>
      <c r="AR5" s="2474"/>
      <c r="AS5" s="2431" t="s">
        <v>915</v>
      </c>
      <c r="AT5" s="2431" t="s">
        <v>916</v>
      </c>
      <c r="AU5" s="2431" t="s">
        <v>917</v>
      </c>
      <c r="AV5" s="2464" t="s">
        <v>918</v>
      </c>
      <c r="AW5" s="2476"/>
      <c r="AX5" s="2199" t="str">
        <f>CONCATENATE("[NOME] teve que lidar com a redução do tempo de seu trabalho principal durante o período de crise do COVID-19?")</f>
        <v>[NOME] teve que lidar com a redução do tempo de seu trabalho principal durante o período de crise do COVID-19?</v>
      </c>
      <c r="AY5" s="2199" t="s">
        <v>919</v>
      </c>
      <c r="AZ5" s="2464" t="s">
        <v>920</v>
      </c>
      <c r="BA5" s="2476"/>
      <c r="BB5" s="2431" t="str">
        <f>CONCATENATE("[NOME] teve alguma redução, salário, benefícios e / ou benefícios do emprego principal durante o período de crise do COVID-19?")</f>
        <v>[NOME] teve alguma redução, salário, benefícios e / ou benefícios do emprego principal durante o período de crise do COVID-19?</v>
      </c>
      <c r="BC5" s="2431" t="s">
        <v>921</v>
      </c>
      <c r="BD5" s="2464" t="s">
        <v>922</v>
      </c>
      <c r="BE5" s="2476"/>
      <c r="BF5" s="2231" t="s">
        <v>923</v>
      </c>
      <c r="BG5" s="2256" t="s">
        <v>924</v>
      </c>
      <c r="BH5" s="2485" t="s">
        <v>925</v>
      </c>
    </row>
    <row r="6" spans="1:60" ht="12.75" customHeight="1">
      <c r="A6" s="2478"/>
      <c r="B6" s="2447"/>
      <c r="C6" s="2237"/>
      <c r="D6" s="2236"/>
      <c r="E6" s="2238"/>
      <c r="F6" s="2199"/>
      <c r="G6" s="2199"/>
      <c r="H6" s="2199"/>
      <c r="I6" s="2238"/>
      <c r="J6" s="2199"/>
      <c r="K6" s="2483"/>
      <c r="L6" s="2482"/>
      <c r="M6" s="2474"/>
      <c r="N6" s="2199"/>
      <c r="O6" s="2199"/>
      <c r="P6" s="2199"/>
      <c r="Q6" s="2199"/>
      <c r="R6" s="2199"/>
      <c r="S6" s="2199"/>
      <c r="T6" s="2476"/>
      <c r="U6" s="2238"/>
      <c r="V6" s="2238"/>
      <c r="W6" s="2237"/>
      <c r="X6" s="2199"/>
      <c r="Y6" s="2467"/>
      <c r="Z6" s="2465"/>
      <c r="AA6" s="2465"/>
      <c r="AB6" s="2465"/>
      <c r="AC6" s="2465"/>
      <c r="AD6" s="2466"/>
      <c r="AE6" s="2474"/>
      <c r="AF6" s="2199"/>
      <c r="AG6" s="2467"/>
      <c r="AH6" s="2465"/>
      <c r="AI6" s="2465"/>
      <c r="AJ6" s="2465"/>
      <c r="AK6" s="2465"/>
      <c r="AL6" s="2466"/>
      <c r="AM6" s="2236"/>
      <c r="AN6" s="2237"/>
      <c r="AO6" s="2495"/>
      <c r="AP6" s="2496"/>
      <c r="AQ6" s="2497"/>
      <c r="AR6" s="2474"/>
      <c r="AS6" s="2431"/>
      <c r="AT6" s="2431"/>
      <c r="AU6" s="2431"/>
      <c r="AV6" s="2464"/>
      <c r="AW6" s="2476"/>
      <c r="AX6" s="2199"/>
      <c r="AY6" s="2199"/>
      <c r="AZ6" s="2464"/>
      <c r="BA6" s="2476"/>
      <c r="BB6" s="2431"/>
      <c r="BC6" s="2431"/>
      <c r="BD6" s="2464"/>
      <c r="BE6" s="2476"/>
      <c r="BF6" s="2231"/>
      <c r="BG6" s="2256"/>
      <c r="BH6" s="2485"/>
    </row>
    <row r="7" spans="1:60" ht="12.75" customHeight="1">
      <c r="A7" s="2478"/>
      <c r="B7" s="2447"/>
      <c r="C7" s="2237"/>
      <c r="D7" s="2236"/>
      <c r="E7" s="2238"/>
      <c r="F7" s="2199"/>
      <c r="G7" s="2199"/>
      <c r="H7" s="2199"/>
      <c r="I7" s="2238"/>
      <c r="J7" s="2199"/>
      <c r="K7" s="2483"/>
      <c r="L7" s="2482"/>
      <c r="M7" s="2474"/>
      <c r="N7" s="2199"/>
      <c r="O7" s="2199"/>
      <c r="P7" s="2199"/>
      <c r="Q7" s="2199"/>
      <c r="R7" s="2199"/>
      <c r="S7" s="2199"/>
      <c r="T7" s="2476"/>
      <c r="U7" s="2238"/>
      <c r="V7" s="2238"/>
      <c r="W7" s="2237"/>
      <c r="X7" s="2199"/>
      <c r="Y7" s="2467"/>
      <c r="Z7" s="2465"/>
      <c r="AA7" s="2465"/>
      <c r="AB7" s="2465"/>
      <c r="AC7" s="2465"/>
      <c r="AD7" s="2466"/>
      <c r="AE7" s="2474"/>
      <c r="AF7" s="2199"/>
      <c r="AG7" s="2467"/>
      <c r="AH7" s="2465"/>
      <c r="AI7" s="2465"/>
      <c r="AJ7" s="2465"/>
      <c r="AK7" s="2465"/>
      <c r="AL7" s="2466"/>
      <c r="AM7" s="2236"/>
      <c r="AN7" s="2237"/>
      <c r="AO7" s="2495"/>
      <c r="AP7" s="2496"/>
      <c r="AQ7" s="2497"/>
      <c r="AR7" s="2474"/>
      <c r="AS7" s="2431"/>
      <c r="AT7" s="2431"/>
      <c r="AU7" s="2431"/>
      <c r="AV7" s="2464"/>
      <c r="AW7" s="2476"/>
      <c r="AX7" s="2199"/>
      <c r="AY7" s="2199"/>
      <c r="AZ7" s="2464"/>
      <c r="BA7" s="2476"/>
      <c r="BB7" s="2431"/>
      <c r="BC7" s="2431"/>
      <c r="BD7" s="2464"/>
      <c r="BE7" s="2476"/>
      <c r="BF7" s="2231"/>
      <c r="BG7" s="2256"/>
      <c r="BH7" s="2485"/>
    </row>
    <row r="8" spans="1:60" ht="12.75" customHeight="1">
      <c r="A8" s="2478"/>
      <c r="B8" s="2447"/>
      <c r="C8" s="2237"/>
      <c r="D8" s="2236"/>
      <c r="E8" s="2238"/>
      <c r="F8" s="2199"/>
      <c r="G8" s="2199"/>
      <c r="H8" s="2199"/>
      <c r="I8" s="2238"/>
      <c r="J8" s="2199"/>
      <c r="K8" s="2483"/>
      <c r="L8" s="2482"/>
      <c r="M8" s="2474"/>
      <c r="N8" s="2199"/>
      <c r="O8" s="2199"/>
      <c r="P8" s="2199"/>
      <c r="Q8" s="2199"/>
      <c r="R8" s="2199"/>
      <c r="S8" s="2199"/>
      <c r="T8" s="2476"/>
      <c r="U8" s="2238"/>
      <c r="V8" s="2238"/>
      <c r="W8" s="2237"/>
      <c r="X8" s="2199"/>
      <c r="Y8" s="2468"/>
      <c r="Z8" s="2469"/>
      <c r="AA8" s="2469"/>
      <c r="AB8" s="2469"/>
      <c r="AC8" s="2469"/>
      <c r="AD8" s="2470"/>
      <c r="AE8" s="2474"/>
      <c r="AF8" s="2199"/>
      <c r="AG8" s="2468"/>
      <c r="AH8" s="2469"/>
      <c r="AI8" s="2469"/>
      <c r="AJ8" s="2469"/>
      <c r="AK8" s="2469"/>
      <c r="AL8" s="2470"/>
      <c r="AM8" s="2236"/>
      <c r="AN8" s="2237"/>
      <c r="AO8" s="1501" t="s">
        <v>926</v>
      </c>
      <c r="AP8" s="1194"/>
      <c r="AQ8" s="83"/>
      <c r="AR8" s="2474"/>
      <c r="AS8" s="2431"/>
      <c r="AT8" s="2431"/>
      <c r="AU8" s="2431"/>
      <c r="AV8" s="2464"/>
      <c r="AW8" s="2476"/>
      <c r="AX8" s="2199"/>
      <c r="AY8" s="2199"/>
      <c r="AZ8" s="2464"/>
      <c r="BA8" s="2476"/>
      <c r="BB8" s="2431"/>
      <c r="BC8" s="2431"/>
      <c r="BD8" s="2464"/>
      <c r="BE8" s="2476"/>
      <c r="BF8" s="2231"/>
      <c r="BG8" s="2256"/>
      <c r="BH8" s="2485"/>
    </row>
    <row r="9" spans="1:60" ht="13.5" customHeight="1">
      <c r="A9" s="2478"/>
      <c r="B9" s="2447"/>
      <c r="C9" s="2237"/>
      <c r="D9" s="2236"/>
      <c r="E9" s="2238"/>
      <c r="F9" s="767"/>
      <c r="G9" s="2199"/>
      <c r="H9" s="2199"/>
      <c r="I9" s="2238"/>
      <c r="J9" s="2199"/>
      <c r="K9" s="2483"/>
      <c r="L9" s="2482"/>
      <c r="M9" s="2474"/>
      <c r="N9" s="2199"/>
      <c r="O9" s="1436" t="str">
        <f>CONCATENATE("Assalariado ► (",TEXT(R4,"0,00"),")")</f>
        <v>Assalariado ► (4,40)</v>
      </c>
      <c r="P9" s="2199"/>
      <c r="Q9" s="2199"/>
      <c r="R9" s="2199"/>
      <c r="S9" s="2199"/>
      <c r="T9" s="2476"/>
      <c r="U9" s="688"/>
      <c r="V9" s="41"/>
      <c r="W9" s="83"/>
      <c r="X9" s="2199"/>
      <c r="Y9" s="688"/>
      <c r="Z9" s="41" t="s">
        <v>927</v>
      </c>
      <c r="AA9" s="41"/>
      <c r="AB9" s="41"/>
      <c r="AC9" s="41"/>
      <c r="AD9" s="83"/>
      <c r="AE9" s="2474"/>
      <c r="AF9" s="2199"/>
      <c r="AG9" s="688"/>
      <c r="AH9" s="41" t="s">
        <v>927</v>
      </c>
      <c r="AI9" s="41"/>
      <c r="AJ9" s="41"/>
      <c r="AK9" s="41"/>
      <c r="AL9" s="83"/>
      <c r="AM9" s="2236"/>
      <c r="AN9" s="2237"/>
      <c r="AO9" s="1501"/>
      <c r="AP9" s="1194"/>
      <c r="AQ9" s="83"/>
      <c r="AR9" s="2474"/>
      <c r="AS9" s="2431"/>
      <c r="AT9" s="2431"/>
      <c r="AU9" s="2431"/>
      <c r="AV9" s="2464"/>
      <c r="AW9" s="2476"/>
      <c r="AX9" s="2199"/>
      <c r="AY9" s="2199"/>
      <c r="AZ9" s="2464"/>
      <c r="BA9" s="2476"/>
      <c r="BB9" s="2431"/>
      <c r="BC9" s="2431"/>
      <c r="BD9" s="2464"/>
      <c r="BE9" s="2476"/>
      <c r="BF9" s="2231"/>
      <c r="BG9" s="2256"/>
      <c r="BH9" s="2485"/>
    </row>
    <row r="10" spans="1:60" ht="13.5" customHeight="1">
      <c r="A10" s="2478"/>
      <c r="B10" s="2447"/>
      <c r="C10" s="2237"/>
      <c r="D10" s="1502"/>
      <c r="E10" s="1503"/>
      <c r="F10" s="1504"/>
      <c r="G10" s="2199"/>
      <c r="H10" s="2199"/>
      <c r="I10" s="2238"/>
      <c r="J10" s="2199"/>
      <c r="K10" s="2483"/>
      <c r="L10" s="2482"/>
      <c r="M10" s="2474"/>
      <c r="N10" s="2199"/>
      <c r="P10" s="2199"/>
      <c r="Q10" s="2199"/>
      <c r="R10" s="2199"/>
      <c r="S10" s="2199"/>
      <c r="T10" s="2476"/>
      <c r="U10" s="688"/>
      <c r="V10" s="813"/>
      <c r="W10" s="83"/>
      <c r="X10" s="2199"/>
      <c r="Y10" s="688"/>
      <c r="Z10" s="2471" t="s">
        <v>928</v>
      </c>
      <c r="AA10" s="2471"/>
      <c r="AB10" s="2471"/>
      <c r="AC10" s="2471"/>
      <c r="AD10" s="2472"/>
      <c r="AE10" s="2474"/>
      <c r="AF10" s="2199"/>
      <c r="AG10" s="688"/>
      <c r="AH10" s="2471" t="s">
        <v>928</v>
      </c>
      <c r="AI10" s="2471"/>
      <c r="AJ10" s="2471"/>
      <c r="AK10" s="2471"/>
      <c r="AL10" s="2472"/>
      <c r="AM10" s="2236"/>
      <c r="AN10" s="2237"/>
      <c r="AO10" s="1505" t="s">
        <v>929</v>
      </c>
      <c r="AP10" s="41"/>
      <c r="AQ10" s="83"/>
      <c r="AR10" s="2474"/>
      <c r="AS10" s="2431"/>
      <c r="AT10" s="2431"/>
      <c r="AU10" s="2431"/>
      <c r="AV10" s="2464"/>
      <c r="AW10" s="2476"/>
      <c r="AX10" s="2199"/>
      <c r="AY10" s="2199"/>
      <c r="AZ10" s="2464"/>
      <c r="BA10" s="2476"/>
      <c r="BB10" s="2431"/>
      <c r="BC10" s="2431"/>
      <c r="BD10" s="2464"/>
      <c r="BE10" s="2476"/>
      <c r="BF10" s="2231"/>
      <c r="BG10" s="2256"/>
      <c r="BH10" s="2485"/>
    </row>
    <row r="11" spans="1:60" ht="13.5" customHeight="1">
      <c r="A11" s="2478"/>
      <c r="B11" s="2447"/>
      <c r="C11" s="2237"/>
      <c r="D11" s="1502"/>
      <c r="E11" s="1503"/>
      <c r="F11" s="1123"/>
      <c r="G11" s="2199"/>
      <c r="H11" s="2199"/>
      <c r="I11" s="2238"/>
      <c r="J11" s="2199"/>
      <c r="K11" s="2483"/>
      <c r="L11" s="2484"/>
      <c r="M11" s="2474"/>
      <c r="N11" s="2199"/>
      <c r="O11" s="1109" t="s">
        <v>260</v>
      </c>
      <c r="P11" s="2199"/>
      <c r="Q11" s="2199"/>
      <c r="R11" s="2199"/>
      <c r="S11" s="2199"/>
      <c r="T11" s="1506"/>
      <c r="U11" s="1505"/>
      <c r="V11" s="1507" t="s">
        <v>930</v>
      </c>
      <c r="W11" s="83"/>
      <c r="X11" s="2199"/>
      <c r="Y11" s="688"/>
      <c r="Z11" s="2471"/>
      <c r="AA11" s="2471"/>
      <c r="AB11" s="2471"/>
      <c r="AC11" s="2471"/>
      <c r="AD11" s="2472"/>
      <c r="AE11" s="2474"/>
      <c r="AF11" s="2199"/>
      <c r="AG11" s="688"/>
      <c r="AH11" s="2471"/>
      <c r="AI11" s="2471"/>
      <c r="AJ11" s="2471"/>
      <c r="AK11" s="2471"/>
      <c r="AL11" s="2472"/>
      <c r="AM11" s="2236"/>
      <c r="AN11" s="2237"/>
      <c r="AO11" s="41">
        <v>1</v>
      </c>
      <c r="AP11" s="41" t="s">
        <v>931</v>
      </c>
      <c r="AQ11" s="83"/>
      <c r="AR11" s="2474"/>
      <c r="AS11" s="2431"/>
      <c r="AT11" s="2431"/>
      <c r="AU11" s="2431"/>
      <c r="AV11" s="2464"/>
      <c r="AW11" s="2476"/>
      <c r="AX11" s="2199"/>
      <c r="AY11" s="2199"/>
      <c r="AZ11" s="2464"/>
      <c r="BA11" s="2476"/>
      <c r="BB11" s="2431"/>
      <c r="BC11" s="2431"/>
      <c r="BD11" s="2464"/>
      <c r="BE11" s="2476"/>
      <c r="BF11" s="2231"/>
      <c r="BG11" s="2256"/>
      <c r="BH11" s="2485"/>
    </row>
    <row r="12" spans="1:60" ht="42" customHeight="1">
      <c r="A12" s="2478"/>
      <c r="B12" s="2447"/>
      <c r="C12" s="2237"/>
      <c r="D12" s="688"/>
      <c r="E12" s="41"/>
      <c r="F12" s="1123" t="str">
        <f>CONCATENATE("1 Estado/associações locais")</f>
        <v>1 Estado/associações locais</v>
      </c>
      <c r="G12" s="2199"/>
      <c r="H12" s="2199"/>
      <c r="I12" s="2238"/>
      <c r="J12" s="2199"/>
      <c r="K12" s="2483"/>
      <c r="L12" s="2484"/>
      <c r="M12" s="2474"/>
      <c r="N12" s="2199"/>
      <c r="O12" s="1114" t="s">
        <v>277</v>
      </c>
      <c r="P12" s="1115"/>
      <c r="Q12" s="1115"/>
      <c r="R12" s="2199"/>
      <c r="S12" s="2199"/>
      <c r="T12" s="1446"/>
      <c r="U12" s="41">
        <v>1</v>
      </c>
      <c r="V12" s="41" t="s">
        <v>931</v>
      </c>
      <c r="W12" s="83"/>
      <c r="X12" s="2199"/>
      <c r="Y12" s="688"/>
      <c r="Z12" s="2471"/>
      <c r="AA12" s="2471"/>
      <c r="AB12" s="2471"/>
      <c r="AC12" s="2471"/>
      <c r="AD12" s="2472"/>
      <c r="AE12" s="2474"/>
      <c r="AF12" s="2199"/>
      <c r="AG12" s="688"/>
      <c r="AH12" s="2471"/>
      <c r="AI12" s="2471"/>
      <c r="AJ12" s="2471"/>
      <c r="AK12" s="2471"/>
      <c r="AL12" s="2472"/>
      <c r="AM12" s="2236"/>
      <c r="AN12" s="2237"/>
      <c r="AO12" s="688">
        <v>2</v>
      </c>
      <c r="AP12" s="41" t="s">
        <v>421</v>
      </c>
      <c r="AQ12" s="83"/>
      <c r="AR12" s="2474"/>
      <c r="AS12" s="2431"/>
      <c r="AT12" s="2431"/>
      <c r="AU12" s="688" t="s">
        <v>106</v>
      </c>
      <c r="AV12" s="2464"/>
      <c r="AW12" s="2476"/>
      <c r="AX12" s="2199"/>
      <c r="AY12" s="859" t="s">
        <v>932</v>
      </c>
      <c r="AZ12" s="2464"/>
      <c r="BA12" s="2476"/>
      <c r="BB12" s="2431"/>
      <c r="BC12" s="2431"/>
      <c r="BD12" s="2464"/>
      <c r="BE12" s="2476"/>
      <c r="BF12" s="2231"/>
      <c r="BG12" s="1434"/>
      <c r="BH12" s="2485"/>
    </row>
    <row r="13" spans="1:60" ht="42.75" customHeight="1">
      <c r="A13" s="2478"/>
      <c r="B13" s="1508"/>
      <c r="C13" s="1509"/>
      <c r="D13" s="688"/>
      <c r="E13" s="41"/>
      <c r="F13" s="2199" t="str">
        <f>CONCATENATE("2 Empresa pública/parapública")</f>
        <v>2 Empresa pública/parapública</v>
      </c>
      <c r="G13" s="2199"/>
      <c r="H13" s="2199"/>
      <c r="I13" s="2238"/>
      <c r="J13" s="2199"/>
      <c r="K13" s="767"/>
      <c r="L13" s="1110"/>
      <c r="M13" s="2474"/>
      <c r="N13" s="2199"/>
      <c r="O13" s="1114" t="s">
        <v>295</v>
      </c>
      <c r="P13" s="1109"/>
      <c r="Q13" s="1109"/>
      <c r="R13" s="2199"/>
      <c r="S13" s="2199"/>
      <c r="T13" s="1446"/>
      <c r="U13" s="41">
        <v>2</v>
      </c>
      <c r="V13" s="41" t="s">
        <v>421</v>
      </c>
      <c r="W13" s="83"/>
      <c r="X13" s="2199"/>
      <c r="Y13" s="688"/>
      <c r="Z13" s="2471"/>
      <c r="AA13" s="2471"/>
      <c r="AB13" s="2471"/>
      <c r="AC13" s="2471"/>
      <c r="AD13" s="2472"/>
      <c r="AE13" s="2474"/>
      <c r="AF13" s="2199"/>
      <c r="AG13" s="688"/>
      <c r="AH13" s="2471"/>
      <c r="AI13" s="2471"/>
      <c r="AJ13" s="2471"/>
      <c r="AK13" s="2471"/>
      <c r="AL13" s="2472"/>
      <c r="AM13" s="2236"/>
      <c r="AN13" s="2237"/>
      <c r="AO13" s="688">
        <v>3</v>
      </c>
      <c r="AP13" s="41" t="s">
        <v>933</v>
      </c>
      <c r="AQ13" s="83"/>
      <c r="AR13" s="2474"/>
      <c r="AS13" s="2431"/>
      <c r="AT13" s="2431"/>
      <c r="AU13" s="1025" t="str">
        <f>CONCATENATE("2 Não ►",TEXT(AX4,"0,00"))</f>
        <v>2 Não ►(4,48d)</v>
      </c>
      <c r="AV13" s="2464"/>
      <c r="AW13" s="2476"/>
      <c r="AX13" s="2199"/>
      <c r="AY13" s="859" t="s">
        <v>934</v>
      </c>
      <c r="AZ13" s="2464"/>
      <c r="BA13" s="2476"/>
      <c r="BB13" s="2431"/>
      <c r="BC13" s="2472" t="s">
        <v>935</v>
      </c>
      <c r="BD13" s="2464"/>
      <c r="BE13" s="2476"/>
      <c r="BF13" s="2231"/>
      <c r="BG13" s="1434"/>
      <c r="BH13" s="2485"/>
    </row>
    <row r="14" spans="1:60" ht="13.5" customHeight="1">
      <c r="A14" s="2478"/>
      <c r="B14" s="1508"/>
      <c r="C14" s="1509"/>
      <c r="D14" s="688"/>
      <c r="E14" s="41"/>
      <c r="F14" s="2199"/>
      <c r="G14" s="767"/>
      <c r="H14" s="859"/>
      <c r="I14" s="2238"/>
      <c r="J14" s="859"/>
      <c r="K14" s="767"/>
      <c r="L14" s="1110"/>
      <c r="M14" s="2474"/>
      <c r="N14" s="2199"/>
      <c r="O14" s="2446" t="s">
        <v>321</v>
      </c>
      <c r="P14" s="1137" t="s">
        <v>936</v>
      </c>
      <c r="Q14" s="1137" t="s">
        <v>936</v>
      </c>
      <c r="R14" s="859"/>
      <c r="S14" s="2199"/>
      <c r="T14" s="1137" t="s">
        <v>937</v>
      </c>
      <c r="U14" s="41">
        <v>3</v>
      </c>
      <c r="V14" s="41" t="s">
        <v>933</v>
      </c>
      <c r="W14" s="83"/>
      <c r="X14" s="2199"/>
      <c r="Y14" s="688"/>
      <c r="Z14" s="1507" t="s">
        <v>929</v>
      </c>
      <c r="AA14" s="41"/>
      <c r="AB14" s="41"/>
      <c r="AC14" s="41"/>
      <c r="AD14" s="83"/>
      <c r="AE14" s="2474"/>
      <c r="AF14" s="2199"/>
      <c r="AG14" s="688"/>
      <c r="AH14" s="41"/>
      <c r="AI14" s="41"/>
      <c r="AJ14" s="41"/>
      <c r="AK14" s="41"/>
      <c r="AL14" s="83"/>
      <c r="AM14" s="2492" t="s">
        <v>106</v>
      </c>
      <c r="AN14" s="2493"/>
      <c r="AO14" s="688">
        <v>4</v>
      </c>
      <c r="AP14" s="41" t="s">
        <v>422</v>
      </c>
      <c r="AQ14" s="83"/>
      <c r="AR14" s="2474"/>
      <c r="AU14" s="1025"/>
      <c r="AV14" s="2464"/>
      <c r="AW14" s="2476"/>
      <c r="AX14" s="1123" t="str">
        <f>CONCATENATE("1 Sim")</f>
        <v>1 Sim</v>
      </c>
      <c r="AY14" s="2199"/>
      <c r="AZ14" s="2464"/>
      <c r="BA14" s="2476"/>
      <c r="BB14" s="83" t="s">
        <v>880</v>
      </c>
      <c r="BC14" s="2472"/>
      <c r="BD14" s="2464"/>
      <c r="BE14" s="2476"/>
      <c r="BF14" s="2231"/>
      <c r="BG14" s="1434"/>
      <c r="BH14" s="1447"/>
    </row>
    <row r="15" spans="1:60" ht="15.75" customHeight="1">
      <c r="A15" s="2478"/>
      <c r="B15" s="953"/>
      <c r="C15" s="954"/>
      <c r="D15" s="688"/>
      <c r="E15" s="41"/>
      <c r="F15" s="767" t="s">
        <v>938</v>
      </c>
      <c r="G15" s="767"/>
      <c r="H15" s="859"/>
      <c r="I15" s="2238"/>
      <c r="J15" s="859"/>
      <c r="K15" s="767"/>
      <c r="L15" s="767"/>
      <c r="M15" s="2474"/>
      <c r="N15" s="2199"/>
      <c r="O15" s="2446"/>
      <c r="P15" s="1137" t="s">
        <v>939</v>
      </c>
      <c r="Q15" s="1137" t="s">
        <v>939</v>
      </c>
      <c r="R15" s="859"/>
      <c r="S15" s="2199"/>
      <c r="T15" s="1137" t="s">
        <v>884</v>
      </c>
      <c r="U15" s="41">
        <v>4</v>
      </c>
      <c r="V15" s="41" t="s">
        <v>422</v>
      </c>
      <c r="W15" s="83"/>
      <c r="X15" s="2199"/>
      <c r="Y15" s="688"/>
      <c r="AA15" s="41"/>
      <c r="AB15" s="41"/>
      <c r="AC15" s="41"/>
      <c r="AD15" s="83"/>
      <c r="AE15" s="2474"/>
      <c r="AF15" s="2199"/>
      <c r="AG15" s="688"/>
      <c r="AH15" s="1507" t="s">
        <v>929</v>
      </c>
      <c r="AI15" s="41"/>
      <c r="AJ15" s="41"/>
      <c r="AK15" s="41"/>
      <c r="AL15" s="83"/>
      <c r="AM15" s="2277" t="str">
        <f>CONCATENATE("2 Não ►(",TEXT(AT4,"0,00"),")")</f>
        <v>2 Não ►((4,49a))</v>
      </c>
      <c r="AN15" s="2279"/>
      <c r="AO15" s="688"/>
      <c r="AP15" s="41"/>
      <c r="AQ15" s="83"/>
      <c r="AR15" s="2474"/>
      <c r="AS15" s="1118"/>
      <c r="AT15" s="1118" t="s">
        <v>106</v>
      </c>
      <c r="AU15" s="1025"/>
      <c r="AV15" s="2464"/>
      <c r="AW15" s="2476"/>
      <c r="AX15" s="2199" t="str">
        <f>CONCATENATE("2 Não  ►", TEXT(BB4,"0,00"))</f>
        <v>2 Não  ►(4,48h)</v>
      </c>
      <c r="AY15" s="2199"/>
      <c r="AZ15" s="2464"/>
      <c r="BA15" s="2476"/>
      <c r="BB15" s="83" t="str">
        <f>CONCATENATE("2 Não ►(",TEXT(BF4,"0,00"),")")</f>
        <v>2 Não ►(4,50)</v>
      </c>
      <c r="BC15" s="2472"/>
      <c r="BD15" s="2464"/>
      <c r="BE15" s="2476"/>
      <c r="BF15" s="2231"/>
      <c r="BG15" s="1434"/>
      <c r="BH15" s="1124"/>
    </row>
    <row r="16" spans="1:60" ht="13.5" customHeight="1">
      <c r="A16" s="2478"/>
      <c r="B16" s="953"/>
      <c r="C16" s="954"/>
      <c r="D16" s="688"/>
      <c r="E16" s="41"/>
      <c r="F16" s="767" t="s">
        <v>940</v>
      </c>
      <c r="G16" s="767"/>
      <c r="H16" s="1510" t="s">
        <v>106</v>
      </c>
      <c r="I16" s="926"/>
      <c r="J16" s="1510" t="s">
        <v>106</v>
      </c>
      <c r="K16" s="767"/>
      <c r="L16" s="767"/>
      <c r="M16" s="2474"/>
      <c r="N16" s="991" t="s">
        <v>106</v>
      </c>
      <c r="O16" s="1115" t="s">
        <v>336</v>
      </c>
      <c r="P16" s="1113"/>
      <c r="Q16" s="1113"/>
      <c r="R16" s="1510" t="s">
        <v>106</v>
      </c>
      <c r="S16" s="2199"/>
      <c r="T16" s="83"/>
      <c r="U16" s="688"/>
      <c r="V16" s="41"/>
      <c r="W16" s="83"/>
      <c r="X16" s="2199"/>
      <c r="Y16" s="688"/>
      <c r="Z16" s="41">
        <v>1</v>
      </c>
      <c r="AA16" s="41" t="s">
        <v>931</v>
      </c>
      <c r="AB16" s="41"/>
      <c r="AC16" s="41"/>
      <c r="AD16" s="83"/>
      <c r="AE16" s="2474"/>
      <c r="AF16" s="2199"/>
      <c r="AG16" s="688"/>
      <c r="AH16" s="41">
        <v>1</v>
      </c>
      <c r="AI16" s="41" t="s">
        <v>931</v>
      </c>
      <c r="AJ16" s="41"/>
      <c r="AK16" s="41"/>
      <c r="AL16" s="83"/>
      <c r="AM16" s="2277"/>
      <c r="AN16" s="2279"/>
      <c r="AO16" s="688"/>
      <c r="AP16" s="41"/>
      <c r="AQ16" s="83"/>
      <c r="AR16" s="2474"/>
      <c r="AS16" s="1123"/>
      <c r="AT16" s="1123" t="str">
        <f>CONCATENATE("2 Não ►(",TEXT(BF4,"0,00"),")")</f>
        <v>2 Não ►(4,50)</v>
      </c>
      <c r="AU16" s="2199"/>
      <c r="AV16" s="2464"/>
      <c r="AW16" s="2476"/>
      <c r="AX16" s="2199"/>
      <c r="AY16" s="2199"/>
      <c r="AZ16" s="2464"/>
      <c r="BA16" s="2476"/>
      <c r="BC16" s="2472"/>
      <c r="BD16" s="2464"/>
      <c r="BE16" s="2476"/>
      <c r="BF16" s="2231"/>
      <c r="BG16" s="1434"/>
      <c r="BH16" s="2486" t="str">
        <f>CONCATENATE("1 Sim
2 Não")</f>
        <v>1 Sim
2 Não</v>
      </c>
    </row>
    <row r="17" spans="1:60" ht="27" customHeight="1">
      <c r="A17" s="2478"/>
      <c r="B17" s="2447" t="s">
        <v>941</v>
      </c>
      <c r="C17" s="2237"/>
      <c r="D17" s="2236" t="s">
        <v>942</v>
      </c>
      <c r="E17" s="2238"/>
      <c r="F17" s="2199" t="str">
        <f>CONCATENATE("5 Agregado familiar como empregador de pessoal doméstico")</f>
        <v>5 Agregado familiar como empregador de pessoal doméstico</v>
      </c>
      <c r="G17" s="767"/>
      <c r="H17" s="2199" t="str">
        <f>CONCATENATE("2 Não ► (",TEXT(J4,"0,00"),")")</f>
        <v>2 Não ► (4,35)</v>
      </c>
      <c r="I17" s="926"/>
      <c r="J17" s="2199" t="str">
        <f>CONCATENATE("2 Não ")</f>
        <v xml:space="preserve">2 Não </v>
      </c>
      <c r="K17" s="767"/>
      <c r="L17" s="767"/>
      <c r="M17" s="2474"/>
      <c r="N17" s="1022" t="s">
        <v>267</v>
      </c>
      <c r="O17" s="1115" t="s">
        <v>350</v>
      </c>
      <c r="Q17" s="1436"/>
      <c r="R17" s="2459" t="str">
        <f>CONCATENATE("2 Não ► (",TEXT(T4,"0,00"),")")</f>
        <v>2 Não ► (4,42)</v>
      </c>
      <c r="S17" s="1113"/>
      <c r="T17" s="83"/>
      <c r="U17" s="2461"/>
      <c r="V17" s="2462"/>
      <c r="W17" s="2463"/>
      <c r="X17" s="2199"/>
      <c r="Y17" s="688"/>
      <c r="Z17" s="811">
        <v>2</v>
      </c>
      <c r="AA17" s="811" t="s">
        <v>421</v>
      </c>
      <c r="AB17" s="41"/>
      <c r="AC17" s="41"/>
      <c r="AD17" s="83"/>
      <c r="AE17" s="2474"/>
      <c r="AF17" s="2199"/>
      <c r="AG17" s="688"/>
      <c r="AH17" s="811">
        <v>2</v>
      </c>
      <c r="AI17" s="811" t="s">
        <v>421</v>
      </c>
      <c r="AJ17" s="41"/>
      <c r="AK17" s="41"/>
      <c r="AL17" s="83"/>
      <c r="AM17" s="688"/>
      <c r="AN17" s="83"/>
      <c r="AO17" s="688"/>
      <c r="AP17" s="41"/>
      <c r="AQ17" s="83"/>
      <c r="AR17" s="2474"/>
      <c r="AS17" s="83"/>
      <c r="AT17" s="83"/>
      <c r="AU17" s="2199"/>
      <c r="AV17" s="2464"/>
      <c r="AW17" s="2476"/>
      <c r="AX17" s="954"/>
      <c r="AY17" s="2199"/>
      <c r="AZ17" s="2464"/>
      <c r="BA17" s="2476"/>
      <c r="BB17" s="83"/>
      <c r="BC17" s="2472"/>
      <c r="BD17" s="2464"/>
      <c r="BE17" s="2476"/>
      <c r="BF17" s="1511"/>
      <c r="BG17" s="1125"/>
      <c r="BH17" s="2486"/>
    </row>
    <row r="18" spans="1:60" ht="26.25" customHeight="1">
      <c r="A18" s="2478"/>
      <c r="B18" s="2447"/>
      <c r="C18" s="2237"/>
      <c r="D18" s="2236"/>
      <c r="E18" s="2238"/>
      <c r="F18" s="2199"/>
      <c r="G18" s="767"/>
      <c r="H18" s="2199"/>
      <c r="I18" s="953"/>
      <c r="J18" s="2199"/>
      <c r="K18" s="767"/>
      <c r="L18" s="767"/>
      <c r="M18" s="2474"/>
      <c r="N18" s="1443"/>
      <c r="O18" s="1512" t="str">
        <f>CONCATENATE("Não assalariado ► (",TEXT(BF4,"0,00"),")")</f>
        <v>Não assalariado ► (4,50)</v>
      </c>
      <c r="Q18" s="1118"/>
      <c r="R18" s="2459"/>
      <c r="S18" s="859"/>
      <c r="T18" s="83"/>
      <c r="U18" s="2461"/>
      <c r="V18" s="2462"/>
      <c r="W18" s="2463"/>
      <c r="X18" s="688" t="s">
        <v>106</v>
      </c>
      <c r="Y18" s="688"/>
      <c r="Z18" s="41">
        <v>3</v>
      </c>
      <c r="AA18" s="41" t="s">
        <v>933</v>
      </c>
      <c r="AB18" s="41"/>
      <c r="AC18" s="41"/>
      <c r="AD18" s="83"/>
      <c r="AE18" s="2474"/>
      <c r="AF18" s="1504"/>
      <c r="AG18" s="688"/>
      <c r="AH18" s="41">
        <v>3</v>
      </c>
      <c r="AI18" s="41" t="s">
        <v>933</v>
      </c>
      <c r="AJ18" s="41"/>
      <c r="AK18" s="41"/>
      <c r="AL18" s="83"/>
      <c r="AM18" s="688"/>
      <c r="AN18" s="83"/>
      <c r="AO18" s="688"/>
      <c r="AP18" s="41"/>
      <c r="AQ18" s="83"/>
      <c r="AR18" s="2474"/>
      <c r="AS18" s="83"/>
      <c r="AT18" s="83"/>
      <c r="AU18" s="2199"/>
      <c r="AV18" s="2464"/>
      <c r="AW18" s="2476"/>
      <c r="AX18" s="83"/>
      <c r="AY18" s="2199"/>
      <c r="AZ18" s="2464"/>
      <c r="BA18" s="2476"/>
      <c r="BB18" s="83"/>
      <c r="BD18" s="2464"/>
      <c r="BE18" s="2476"/>
      <c r="BF18" s="1113" t="str">
        <f>CONCATENATE("1 Sim  ►(",TEXT(S04_Emploi_C!B4,"0,00"),")")</f>
        <v>1 Sim  ►(4,51)</v>
      </c>
      <c r="BG18" s="991" t="s">
        <v>106</v>
      </c>
      <c r="BH18" s="1124"/>
    </row>
    <row r="19" spans="1:60" ht="45.75" customHeight="1">
      <c r="A19" s="2478"/>
      <c r="B19" s="2447"/>
      <c r="C19" s="2237"/>
      <c r="D19" s="2236"/>
      <c r="E19" s="2238"/>
      <c r="F19" s="1123" t="str">
        <f>CONCATENATE("6 Organismo internacional /Embaixada")</f>
        <v>6 Organismo internacional /Embaixada</v>
      </c>
      <c r="G19" s="767"/>
      <c r="H19" s="859"/>
      <c r="I19" s="953"/>
      <c r="J19" s="859"/>
      <c r="K19" s="767"/>
      <c r="L19" s="767"/>
      <c r="M19" s="2474"/>
      <c r="N19" s="1443"/>
      <c r="O19" s="1019" t="str">
        <f xml:space="preserve"> CONCATENATE("7 Estagiário ou aprendiz não remunerado
  ►(",TEXT(R4,"0,00"),")")</f>
        <v>7 Estagiário ou aprendiz não remunerado
  ►(4,40)</v>
      </c>
      <c r="P19" s="1019"/>
      <c r="Q19" s="1118"/>
      <c r="R19" s="859"/>
      <c r="S19" s="859"/>
      <c r="T19" s="83"/>
      <c r="U19" s="2461"/>
      <c r="V19" s="2462"/>
      <c r="W19" s="2463"/>
      <c r="X19" s="2459" t="str">
        <f>CONCATENATE("2 Não ►( ",ROUND(AF4,2),")")</f>
        <v>2 Não ►( 4,46)</v>
      </c>
      <c r="Y19" s="688"/>
      <c r="Z19" s="41">
        <v>4</v>
      </c>
      <c r="AA19" s="41" t="s">
        <v>422</v>
      </c>
      <c r="AB19" s="41"/>
      <c r="AC19" s="41"/>
      <c r="AD19" s="83"/>
      <c r="AE19" s="2474"/>
      <c r="AF19" s="1504"/>
      <c r="AG19" s="688"/>
      <c r="AH19" s="41">
        <v>4</v>
      </c>
      <c r="AI19" s="41" t="s">
        <v>422</v>
      </c>
      <c r="AJ19" s="41"/>
      <c r="AK19" s="41"/>
      <c r="AL19" s="83"/>
      <c r="AM19" s="688"/>
      <c r="AN19" s="83"/>
      <c r="AO19" s="688"/>
      <c r="AP19" s="41"/>
      <c r="AQ19" s="83"/>
      <c r="AR19" s="2474"/>
      <c r="AS19" s="83"/>
      <c r="AT19" s="83"/>
      <c r="AU19" s="41"/>
      <c r="AV19" s="2464"/>
      <c r="AW19" s="2476"/>
      <c r="AX19" s="83"/>
      <c r="AY19" s="2199"/>
      <c r="AZ19" s="2464"/>
      <c r="BA19" s="2476"/>
      <c r="BB19" s="83"/>
      <c r="BC19" s="2487" t="s">
        <v>943</v>
      </c>
      <c r="BD19" s="2464"/>
      <c r="BE19" s="2476"/>
      <c r="BF19" s="1123" t="s">
        <v>267</v>
      </c>
      <c r="BG19" s="1025" t="s">
        <v>267</v>
      </c>
      <c r="BH19" s="2486" t="str">
        <f>CONCATENATE(" ► ► Secção 5")</f>
        <v xml:space="preserve"> ► ► Secção 5</v>
      </c>
    </row>
    <row r="20" spans="1:60" ht="15.75" customHeight="1">
      <c r="A20" s="2478"/>
      <c r="B20" s="2447"/>
      <c r="C20" s="2237"/>
      <c r="D20" s="2236"/>
      <c r="E20" s="2238"/>
      <c r="F20" s="1504"/>
      <c r="G20" s="767"/>
      <c r="H20" s="1113"/>
      <c r="I20" s="926"/>
      <c r="J20" s="1113"/>
      <c r="K20" s="767"/>
      <c r="L20" s="767"/>
      <c r="M20" s="2474"/>
      <c r="N20" s="991"/>
      <c r="O20" s="2448" t="str">
        <f>CONCATENATE("8 Trabalhador familiar contribuinte numa empresa familiar ►(",TEXT(R4,"0,00"),")")</f>
        <v>8 Trabalhador familiar contribuinte numa empresa familiar ►(4,40)</v>
      </c>
      <c r="Q20" s="1513"/>
      <c r="R20" s="1113"/>
      <c r="S20" s="1113"/>
      <c r="T20" s="83"/>
      <c r="U20" s="2461"/>
      <c r="V20" s="2462"/>
      <c r="W20" s="2463"/>
      <c r="X20" s="2459"/>
      <c r="Y20" s="688"/>
      <c r="Z20" s="41"/>
      <c r="AA20" s="41"/>
      <c r="AB20" s="41"/>
      <c r="AC20" s="41"/>
      <c r="AD20" s="83"/>
      <c r="AE20" s="2474"/>
      <c r="AF20" s="767" t="s">
        <v>106</v>
      </c>
      <c r="AG20" s="688"/>
      <c r="AH20" s="41"/>
      <c r="AI20" s="41"/>
      <c r="AJ20" s="41"/>
      <c r="AK20" s="41"/>
      <c r="AL20" s="83"/>
      <c r="AM20" s="688"/>
      <c r="AN20" s="83"/>
      <c r="AO20" s="688"/>
      <c r="AP20" s="41"/>
      <c r="AQ20" s="83"/>
      <c r="AR20" s="2474"/>
      <c r="AS20" s="83"/>
      <c r="AT20" s="83"/>
      <c r="AU20" s="41"/>
      <c r="AV20" s="2464"/>
      <c r="AW20" s="2476"/>
      <c r="AX20" s="83"/>
      <c r="AY20" s="2199"/>
      <c r="AZ20" s="2464"/>
      <c r="BA20" s="2476"/>
      <c r="BB20" s="83"/>
      <c r="BC20" s="2487"/>
      <c r="BD20" s="2464"/>
      <c r="BE20" s="2476"/>
      <c r="BF20" s="1118"/>
      <c r="BG20" s="1126"/>
      <c r="BH20" s="2486"/>
    </row>
    <row r="21" spans="1:60" ht="13.5" customHeight="1">
      <c r="A21" s="2478"/>
      <c r="B21" s="2447"/>
      <c r="C21" s="2237"/>
      <c r="D21" s="2236"/>
      <c r="E21" s="2238"/>
      <c r="F21" s="767"/>
      <c r="G21" s="767"/>
      <c r="H21" s="859"/>
      <c r="I21" s="953"/>
      <c r="J21" s="859"/>
      <c r="K21" s="767"/>
      <c r="L21" s="767"/>
      <c r="M21" s="2474"/>
      <c r="N21" s="1443"/>
      <c r="O21" s="2448"/>
      <c r="P21" s="769"/>
      <c r="Q21" s="1513"/>
      <c r="R21" s="859"/>
      <c r="S21" s="859"/>
      <c r="T21" s="83"/>
      <c r="U21" s="2461"/>
      <c r="V21" s="2462"/>
      <c r="W21" s="2463"/>
      <c r="X21" s="1514"/>
      <c r="Y21" s="688"/>
      <c r="Z21" s="41"/>
      <c r="AA21" s="41"/>
      <c r="AB21" s="41"/>
      <c r="AC21" s="41"/>
      <c r="AD21" s="83"/>
      <c r="AE21" s="2474"/>
      <c r="AF21" s="1019" t="str">
        <f>CONCATENATE("2 Não ►( ",ROUND(AM4,2),")")</f>
        <v>2 Não ►( 4,48)</v>
      </c>
      <c r="AG21" s="688"/>
      <c r="AH21" s="41"/>
      <c r="AI21" s="41"/>
      <c r="AJ21" s="41"/>
      <c r="AK21" s="41"/>
      <c r="AL21" s="83"/>
      <c r="AM21" s="688"/>
      <c r="AN21" s="83"/>
      <c r="AO21" s="688"/>
      <c r="AP21" s="41"/>
      <c r="AQ21" s="83"/>
      <c r="AR21" s="2474"/>
      <c r="AS21" s="83"/>
      <c r="AT21" s="83"/>
      <c r="AU21" s="41"/>
      <c r="AV21" s="2464"/>
      <c r="AW21" s="2476"/>
      <c r="AX21" s="83"/>
      <c r="AY21" s="1123"/>
      <c r="AZ21" s="2464"/>
      <c r="BA21" s="2476"/>
      <c r="BB21" s="83"/>
      <c r="BC21" s="2487"/>
      <c r="BD21" s="2464"/>
      <c r="BE21" s="2476"/>
      <c r="BF21" s="859"/>
      <c r="BG21" s="1443"/>
      <c r="BH21" s="1127"/>
    </row>
    <row r="22" spans="1:60" ht="13.5">
      <c r="A22" s="2478"/>
      <c r="B22" s="2447"/>
      <c r="C22" s="2237"/>
      <c r="D22" s="2236"/>
      <c r="E22" s="2238"/>
      <c r="F22" s="767"/>
      <c r="G22" s="767"/>
      <c r="H22" s="859"/>
      <c r="I22" s="953"/>
      <c r="J22" s="859"/>
      <c r="K22" s="767"/>
      <c r="L22" s="767"/>
      <c r="M22" s="2474"/>
      <c r="N22" s="1443"/>
      <c r="O22" s="1115" t="s">
        <v>389</v>
      </c>
      <c r="P22" s="1513"/>
      <c r="Q22" s="1109" t="str">
        <f>CONCATENATE("►(",TEXT(AT4,"0,00"),")")</f>
        <v>►((4,49a))</v>
      </c>
      <c r="R22" s="859"/>
      <c r="S22" s="859"/>
      <c r="T22" s="83"/>
      <c r="U22" s="1452"/>
      <c r="V22" s="1453"/>
      <c r="W22" s="1515"/>
      <c r="X22" s="1514"/>
      <c r="Y22" s="688"/>
      <c r="Z22" s="41"/>
      <c r="AA22" s="41"/>
      <c r="AB22" s="41"/>
      <c r="AC22" s="41"/>
      <c r="AD22" s="83"/>
      <c r="AE22" s="2474"/>
      <c r="AF22" s="1019"/>
      <c r="AG22" s="688"/>
      <c r="AH22" s="41"/>
      <c r="AI22" s="41"/>
      <c r="AJ22" s="41"/>
      <c r="AK22" s="41"/>
      <c r="AL22" s="83"/>
      <c r="AM22" s="688"/>
      <c r="AN22" s="83"/>
      <c r="AO22" s="688"/>
      <c r="AP22" s="41"/>
      <c r="AQ22" s="83"/>
      <c r="AR22" s="2474"/>
      <c r="AS22" s="83"/>
      <c r="AT22" s="83"/>
      <c r="AU22" s="41"/>
      <c r="AV22" s="1445"/>
      <c r="AW22" s="1446"/>
      <c r="AX22" s="83"/>
      <c r="AY22" s="1123"/>
      <c r="AZ22" s="1445"/>
      <c r="BA22" s="1446"/>
      <c r="BB22" s="83"/>
      <c r="BC22" s="2487"/>
      <c r="BD22" s="1445"/>
      <c r="BE22" s="1446"/>
      <c r="BF22" s="859"/>
      <c r="BG22" s="1443"/>
      <c r="BH22" s="1127"/>
    </row>
    <row r="23" spans="1:60" ht="13.5">
      <c r="A23" s="2478"/>
      <c r="B23" s="2447"/>
      <c r="C23" s="2237"/>
      <c r="D23" s="2236"/>
      <c r="E23" s="2238"/>
      <c r="F23" s="859"/>
      <c r="G23" s="767"/>
      <c r="H23" s="1113"/>
      <c r="I23" s="926"/>
      <c r="J23" s="1113"/>
      <c r="K23" s="767"/>
      <c r="L23" s="767"/>
      <c r="M23" s="2474"/>
      <c r="N23" s="991"/>
      <c r="O23" s="1115" t="s">
        <v>396</v>
      </c>
      <c r="P23" s="1116"/>
      <c r="Q23" s="769"/>
      <c r="R23" s="1113"/>
      <c r="S23" s="1113"/>
      <c r="T23" s="83"/>
      <c r="U23" s="688"/>
      <c r="V23" s="41"/>
      <c r="W23" s="83"/>
      <c r="X23" s="1514"/>
      <c r="Y23" s="688"/>
      <c r="Z23" s="41"/>
      <c r="AA23" s="41"/>
      <c r="AB23" s="41"/>
      <c r="AC23" s="41"/>
      <c r="AD23" s="83"/>
      <c r="AE23" s="2474"/>
      <c r="AF23" s="1516"/>
      <c r="AG23" s="688"/>
      <c r="AH23" s="41"/>
      <c r="AI23" s="41"/>
      <c r="AJ23" s="41"/>
      <c r="AK23" s="41"/>
      <c r="AL23" s="83"/>
      <c r="AM23" s="688"/>
      <c r="AN23" s="83"/>
      <c r="AO23" s="688"/>
      <c r="AP23" s="41"/>
      <c r="AQ23" s="83"/>
      <c r="AR23" s="2474"/>
      <c r="AS23" s="83"/>
      <c r="AT23" s="83"/>
      <c r="AU23" s="41"/>
      <c r="AV23" s="1128"/>
      <c r="AW23" s="1129"/>
      <c r="AX23" s="83"/>
      <c r="AY23" s="1113"/>
      <c r="AZ23" s="1128"/>
      <c r="BA23" s="1129"/>
      <c r="BB23" s="83"/>
      <c r="BC23" s="2487"/>
      <c r="BD23" s="1128"/>
      <c r="BE23" s="1129"/>
      <c r="BF23" s="1113"/>
      <c r="BG23" s="991"/>
      <c r="BH23" s="1130"/>
    </row>
    <row r="24" spans="1:60" ht="13.5">
      <c r="A24" s="2478"/>
      <c r="B24" s="953"/>
      <c r="C24" s="954"/>
      <c r="D24" s="1443"/>
      <c r="E24" s="953"/>
      <c r="F24" s="859"/>
      <c r="G24" s="767"/>
      <c r="H24" s="1113"/>
      <c r="I24" s="926"/>
      <c r="J24" s="1113"/>
      <c r="K24" s="767"/>
      <c r="L24" s="767"/>
      <c r="M24" s="2474"/>
      <c r="N24" s="991"/>
      <c r="O24" s="1115" t="s">
        <v>400</v>
      </c>
      <c r="P24" s="1116"/>
      <c r="Q24" s="1116"/>
      <c r="R24" s="1113"/>
      <c r="S24" s="1113"/>
      <c r="T24" s="83"/>
      <c r="U24" s="688"/>
      <c r="V24" s="41"/>
      <c r="W24" s="83"/>
      <c r="X24" s="1514"/>
      <c r="Y24" s="41"/>
      <c r="Z24" s="41"/>
      <c r="AA24" s="41"/>
      <c r="AB24" s="41"/>
      <c r="AC24" s="41"/>
      <c r="AD24" s="83"/>
      <c r="AE24" s="2474"/>
      <c r="AF24" s="1516"/>
      <c r="AG24" s="41"/>
      <c r="AH24" s="41"/>
      <c r="AI24" s="41"/>
      <c r="AJ24" s="41"/>
      <c r="AK24" s="41"/>
      <c r="AL24" s="41"/>
      <c r="AM24" s="688"/>
      <c r="AN24" s="83"/>
      <c r="AO24" s="688"/>
      <c r="AP24" s="41"/>
      <c r="AQ24" s="83"/>
      <c r="AR24" s="2474"/>
      <c r="AS24" s="83"/>
      <c r="AT24" s="83"/>
      <c r="AU24" s="41"/>
      <c r="AV24" s="1128"/>
      <c r="AW24" s="1129"/>
      <c r="AX24" s="83"/>
      <c r="AY24" s="1113"/>
      <c r="AZ24" s="1128"/>
      <c r="BA24" s="1129"/>
      <c r="BB24" s="83"/>
      <c r="BC24" s="2487"/>
      <c r="BD24" s="1457"/>
      <c r="BE24" s="1129"/>
      <c r="BF24" s="1113"/>
      <c r="BG24" s="991"/>
      <c r="BH24" s="1130"/>
    </row>
    <row r="25" spans="1:60" ht="13.5" customHeight="1">
      <c r="A25" s="2478"/>
      <c r="B25" s="41"/>
      <c r="C25" s="83"/>
      <c r="D25" s="688"/>
      <c r="E25" s="41"/>
      <c r="F25" s="768"/>
      <c r="G25" s="767"/>
      <c r="H25" s="1133"/>
      <c r="I25" s="926"/>
      <c r="J25" s="1133"/>
      <c r="K25" s="767"/>
      <c r="L25" s="768"/>
      <c r="M25" s="2474"/>
      <c r="N25" s="1517"/>
      <c r="O25" s="769"/>
      <c r="P25" s="1109"/>
      <c r="Q25" s="769"/>
      <c r="R25" s="1133"/>
      <c r="S25" s="1133"/>
      <c r="T25" s="83"/>
      <c r="U25" s="1518"/>
      <c r="V25" s="1519"/>
      <c r="W25" s="2387" t="s">
        <v>944</v>
      </c>
      <c r="X25" s="1516"/>
      <c r="Y25" s="2452" t="s">
        <v>428</v>
      </c>
      <c r="Z25" s="2453"/>
      <c r="AA25" s="2454"/>
      <c r="AB25" s="2457" t="s">
        <v>930</v>
      </c>
      <c r="AC25" s="2453"/>
      <c r="AD25" s="2454"/>
      <c r="AE25" s="2474"/>
      <c r="AF25" s="1516"/>
      <c r="AG25" s="2452" t="s">
        <v>428</v>
      </c>
      <c r="AH25" s="2453"/>
      <c r="AI25" s="2454"/>
      <c r="AJ25" s="2457" t="s">
        <v>944</v>
      </c>
      <c r="AK25" s="2453"/>
      <c r="AL25" s="2453"/>
      <c r="AM25" s="688"/>
      <c r="AN25" s="83"/>
      <c r="AO25" s="2457" t="s">
        <v>428</v>
      </c>
      <c r="AP25" s="2488"/>
      <c r="AQ25" s="2387" t="s">
        <v>944</v>
      </c>
      <c r="AR25" s="2474"/>
      <c r="AS25" s="83"/>
      <c r="AT25" s="1441"/>
      <c r="AU25" s="1131"/>
      <c r="AV25" s="1132"/>
      <c r="AW25" s="2387" t="s">
        <v>944</v>
      </c>
      <c r="AX25" s="83"/>
      <c r="AY25" s="1133"/>
      <c r="AZ25" s="1132"/>
      <c r="BA25" s="2387" t="s">
        <v>944</v>
      </c>
      <c r="BB25" s="1440"/>
      <c r="BC25" s="1442"/>
      <c r="BD25" s="1134"/>
      <c r="BE25" s="2387" t="s">
        <v>944</v>
      </c>
      <c r="BF25" s="1113"/>
      <c r="BG25" s="991"/>
      <c r="BH25" s="1135"/>
    </row>
    <row r="26" spans="1:60" ht="14.25" customHeight="1" thickBot="1">
      <c r="A26" s="2479"/>
      <c r="B26" s="1520" t="s">
        <v>945</v>
      </c>
      <c r="C26" s="1253" t="s">
        <v>420</v>
      </c>
      <c r="D26" s="1253" t="s">
        <v>946</v>
      </c>
      <c r="E26" s="1253" t="s">
        <v>420</v>
      </c>
      <c r="F26" s="808" t="s">
        <v>420</v>
      </c>
      <c r="G26" s="808" t="s">
        <v>421</v>
      </c>
      <c r="H26" s="1521" t="s">
        <v>420</v>
      </c>
      <c r="I26" s="1522" t="s">
        <v>947</v>
      </c>
      <c r="J26" s="1523" t="s">
        <v>420</v>
      </c>
      <c r="K26" s="808" t="s">
        <v>947</v>
      </c>
      <c r="L26" s="808" t="s">
        <v>888</v>
      </c>
      <c r="M26" s="2479"/>
      <c r="N26" s="1524" t="s">
        <v>420</v>
      </c>
      <c r="O26" s="808" t="s">
        <v>420</v>
      </c>
      <c r="P26" s="808" t="s">
        <v>420</v>
      </c>
      <c r="Q26" s="808" t="s">
        <v>420</v>
      </c>
      <c r="R26" s="1521" t="s">
        <v>420</v>
      </c>
      <c r="S26" s="1522" t="s">
        <v>947</v>
      </c>
      <c r="T26" s="1256" t="s">
        <v>420</v>
      </c>
      <c r="U26" s="2480" t="s">
        <v>607</v>
      </c>
      <c r="V26" s="2481"/>
      <c r="W26" s="2449"/>
      <c r="X26" s="1525"/>
      <c r="Y26" s="2455"/>
      <c r="Z26" s="2455"/>
      <c r="AA26" s="2456"/>
      <c r="AB26" s="2458"/>
      <c r="AC26" s="2455"/>
      <c r="AD26" s="2456"/>
      <c r="AE26" s="2475"/>
      <c r="AF26" s="1256" t="s">
        <v>420</v>
      </c>
      <c r="AG26" s="2455"/>
      <c r="AH26" s="2455"/>
      <c r="AI26" s="2456"/>
      <c r="AJ26" s="2458"/>
      <c r="AK26" s="2455"/>
      <c r="AL26" s="2455"/>
      <c r="AM26" s="2450" t="s">
        <v>420</v>
      </c>
      <c r="AN26" s="2451"/>
      <c r="AO26" s="2489"/>
      <c r="AP26" s="2490"/>
      <c r="AQ26" s="2449"/>
      <c r="AR26" s="2474"/>
      <c r="AS26" s="1253" t="s">
        <v>420</v>
      </c>
      <c r="AT26" s="1253" t="s">
        <v>420</v>
      </c>
      <c r="AU26" s="1253" t="s">
        <v>420</v>
      </c>
      <c r="AV26" s="1136" t="s">
        <v>426</v>
      </c>
      <c r="AW26" s="2449"/>
      <c r="AX26" s="1253" t="s">
        <v>420</v>
      </c>
      <c r="AY26" s="1253" t="s">
        <v>420</v>
      </c>
      <c r="AZ26" s="1136" t="s">
        <v>426</v>
      </c>
      <c r="BA26" s="2449"/>
      <c r="BB26" s="1253" t="s">
        <v>420</v>
      </c>
      <c r="BC26" s="1253" t="s">
        <v>420</v>
      </c>
      <c r="BD26" s="1136" t="s">
        <v>426</v>
      </c>
      <c r="BE26" s="2449"/>
      <c r="BF26" s="808" t="s">
        <v>420</v>
      </c>
      <c r="BG26" s="1253" t="s">
        <v>420</v>
      </c>
      <c r="BH26" s="808" t="s">
        <v>420</v>
      </c>
    </row>
    <row r="27" spans="1:60" ht="14.25" customHeight="1" thickTop="1">
      <c r="A27" s="1526" t="s">
        <v>775</v>
      </c>
      <c r="B27" s="831"/>
      <c r="C27" s="833"/>
      <c r="D27" s="833"/>
      <c r="E27" s="1527"/>
      <c r="F27" s="833"/>
      <c r="G27" s="833"/>
      <c r="H27" s="832"/>
      <c r="I27" s="832"/>
      <c r="J27" s="832"/>
      <c r="K27" s="833"/>
      <c r="L27" s="1528"/>
      <c r="M27" s="1526" t="s">
        <v>775</v>
      </c>
      <c r="N27" s="1529"/>
      <c r="O27" s="833"/>
      <c r="P27" s="831"/>
      <c r="Q27" s="831"/>
      <c r="R27" s="832"/>
      <c r="S27" s="832"/>
      <c r="T27" s="1409"/>
      <c r="U27" s="1530"/>
      <c r="V27" s="1531"/>
      <c r="W27" s="831"/>
      <c r="X27" s="833"/>
      <c r="Y27" s="1532"/>
      <c r="Z27" s="1532"/>
      <c r="AA27" s="831"/>
      <c r="AB27" s="1527"/>
      <c r="AC27" s="1532"/>
      <c r="AD27" s="831"/>
      <c r="AE27" s="1526" t="s">
        <v>775</v>
      </c>
      <c r="AF27" s="833"/>
      <c r="AG27" s="1532"/>
      <c r="AH27" s="1532"/>
      <c r="AI27" s="831"/>
      <c r="AJ27" s="1527"/>
      <c r="AK27" s="1532"/>
      <c r="AL27" s="831"/>
      <c r="AM27" s="1527"/>
      <c r="AN27" s="831"/>
      <c r="AO27" s="1527"/>
      <c r="AP27" s="831"/>
      <c r="AQ27" s="833"/>
      <c r="AR27" s="1526" t="s">
        <v>775</v>
      </c>
      <c r="AS27" s="831"/>
      <c r="AT27" s="831"/>
      <c r="AU27" s="831"/>
      <c r="AV27" s="831"/>
      <c r="AW27" s="831"/>
      <c r="AX27" s="831"/>
      <c r="AY27" s="832"/>
      <c r="AZ27" s="831"/>
      <c r="BA27" s="831"/>
      <c r="BB27" s="833"/>
      <c r="BC27" s="833"/>
      <c r="BD27" s="831"/>
      <c r="BE27" s="831"/>
      <c r="BF27" s="1533"/>
      <c r="BG27" s="842"/>
      <c r="BH27" s="843"/>
    </row>
    <row r="28" spans="1:60" ht="14.25" customHeight="1">
      <c r="A28" s="1184" t="s">
        <v>776</v>
      </c>
      <c r="B28" s="834"/>
      <c r="C28" s="836"/>
      <c r="D28" s="836"/>
      <c r="E28" s="1534"/>
      <c r="F28" s="836"/>
      <c r="G28" s="836"/>
      <c r="H28" s="835"/>
      <c r="I28" s="835"/>
      <c r="J28" s="835"/>
      <c r="K28" s="836"/>
      <c r="L28" s="1535"/>
      <c r="M28" s="1184" t="s">
        <v>776</v>
      </c>
      <c r="N28" s="1536"/>
      <c r="O28" s="836"/>
      <c r="P28" s="834"/>
      <c r="Q28" s="834"/>
      <c r="R28" s="835"/>
      <c r="S28" s="835"/>
      <c r="T28" s="836"/>
      <c r="U28" s="1537"/>
      <c r="V28" s="1538"/>
      <c r="W28" s="834"/>
      <c r="X28" s="836"/>
      <c r="Y28" s="1539"/>
      <c r="Z28" s="1539"/>
      <c r="AA28" s="834"/>
      <c r="AB28" s="1534"/>
      <c r="AC28" s="1539"/>
      <c r="AD28" s="834"/>
      <c r="AE28" s="1184" t="s">
        <v>776</v>
      </c>
      <c r="AF28" s="836"/>
      <c r="AG28" s="1539"/>
      <c r="AH28" s="1539"/>
      <c r="AI28" s="834"/>
      <c r="AJ28" s="1534"/>
      <c r="AK28" s="1539"/>
      <c r="AL28" s="834"/>
      <c r="AM28" s="1534"/>
      <c r="AN28" s="834"/>
      <c r="AO28" s="1534"/>
      <c r="AP28" s="834"/>
      <c r="AQ28" s="836"/>
      <c r="AR28" s="1184" t="s">
        <v>776</v>
      </c>
      <c r="AS28" s="834"/>
      <c r="AT28" s="834"/>
      <c r="AU28" s="834"/>
      <c r="AV28" s="834"/>
      <c r="AW28" s="834"/>
      <c r="AX28" s="834"/>
      <c r="AY28" s="835"/>
      <c r="AZ28" s="834"/>
      <c r="BA28" s="834"/>
      <c r="BB28" s="836"/>
      <c r="BC28" s="836"/>
      <c r="BD28" s="834"/>
      <c r="BE28" s="834"/>
      <c r="BF28" s="1536"/>
      <c r="BG28" s="844"/>
      <c r="BH28" s="845"/>
    </row>
    <row r="29" spans="1:60" ht="14.25" customHeight="1">
      <c r="A29" s="1186">
        <v>3</v>
      </c>
      <c r="B29" s="834"/>
      <c r="C29" s="836"/>
      <c r="D29" s="836"/>
      <c r="E29" s="1534"/>
      <c r="F29" s="836"/>
      <c r="G29" s="836"/>
      <c r="H29" s="835"/>
      <c r="I29" s="835"/>
      <c r="J29" s="835"/>
      <c r="K29" s="836"/>
      <c r="L29" s="1535"/>
      <c r="M29" s="1186">
        <v>3</v>
      </c>
      <c r="N29" s="1536"/>
      <c r="O29" s="836"/>
      <c r="P29" s="834"/>
      <c r="Q29" s="834"/>
      <c r="R29" s="835"/>
      <c r="S29" s="835"/>
      <c r="T29" s="836"/>
      <c r="U29" s="1537"/>
      <c r="V29" s="1538"/>
      <c r="W29" s="834"/>
      <c r="X29" s="836"/>
      <c r="Y29" s="1539"/>
      <c r="Z29" s="1539"/>
      <c r="AA29" s="834"/>
      <c r="AB29" s="1534"/>
      <c r="AC29" s="1539"/>
      <c r="AD29" s="834"/>
      <c r="AE29" s="1186">
        <v>3</v>
      </c>
      <c r="AF29" s="836"/>
      <c r="AG29" s="1539"/>
      <c r="AH29" s="1539"/>
      <c r="AI29" s="834"/>
      <c r="AJ29" s="1534"/>
      <c r="AK29" s="1539"/>
      <c r="AL29" s="834"/>
      <c r="AM29" s="1534"/>
      <c r="AN29" s="834"/>
      <c r="AO29" s="1534"/>
      <c r="AP29" s="834"/>
      <c r="AQ29" s="836"/>
      <c r="AR29" s="1186">
        <v>3</v>
      </c>
      <c r="AS29" s="834"/>
      <c r="AT29" s="834"/>
      <c r="AU29" s="834"/>
      <c r="AV29" s="834"/>
      <c r="AW29" s="834"/>
      <c r="AX29" s="834"/>
      <c r="AY29" s="835"/>
      <c r="AZ29" s="834"/>
      <c r="BA29" s="834"/>
      <c r="BB29" s="836"/>
      <c r="BC29" s="836"/>
      <c r="BD29" s="834"/>
      <c r="BE29" s="834"/>
      <c r="BF29" s="1536"/>
      <c r="BG29" s="846"/>
      <c r="BH29" s="1540"/>
    </row>
    <row r="30" spans="1:60" ht="14.25" customHeight="1">
      <c r="A30" s="1186">
        <v>4</v>
      </c>
      <c r="B30" s="834"/>
      <c r="C30" s="836"/>
      <c r="D30" s="836"/>
      <c r="E30" s="1534"/>
      <c r="F30" s="836"/>
      <c r="G30" s="836"/>
      <c r="H30" s="835"/>
      <c r="I30" s="835"/>
      <c r="J30" s="835"/>
      <c r="K30" s="836"/>
      <c r="L30" s="1535"/>
      <c r="M30" s="1186">
        <v>4</v>
      </c>
      <c r="N30" s="1536"/>
      <c r="O30" s="836"/>
      <c r="P30" s="834"/>
      <c r="Q30" s="834"/>
      <c r="R30" s="835"/>
      <c r="S30" s="835"/>
      <c r="T30" s="836"/>
      <c r="U30" s="1537"/>
      <c r="V30" s="1538"/>
      <c r="W30" s="834"/>
      <c r="X30" s="836"/>
      <c r="Y30" s="1539"/>
      <c r="Z30" s="1539"/>
      <c r="AA30" s="834"/>
      <c r="AB30" s="1534"/>
      <c r="AC30" s="1539"/>
      <c r="AD30" s="834"/>
      <c r="AE30" s="1186">
        <v>4</v>
      </c>
      <c r="AF30" s="836"/>
      <c r="AG30" s="1539"/>
      <c r="AH30" s="1539"/>
      <c r="AI30" s="834"/>
      <c r="AJ30" s="1534"/>
      <c r="AK30" s="1539"/>
      <c r="AL30" s="834"/>
      <c r="AM30" s="1534"/>
      <c r="AN30" s="834"/>
      <c r="AO30" s="1534"/>
      <c r="AP30" s="834"/>
      <c r="AQ30" s="836"/>
      <c r="AR30" s="1186">
        <v>4</v>
      </c>
      <c r="AS30" s="834"/>
      <c r="AT30" s="834"/>
      <c r="AU30" s="834"/>
      <c r="AV30" s="834"/>
      <c r="AW30" s="834"/>
      <c r="AX30" s="834"/>
      <c r="AY30" s="835"/>
      <c r="AZ30" s="834"/>
      <c r="BA30" s="834"/>
      <c r="BB30" s="836"/>
      <c r="BC30" s="836"/>
      <c r="BD30" s="834"/>
      <c r="BE30" s="834"/>
      <c r="BF30" s="1536"/>
      <c r="BG30" s="846"/>
      <c r="BH30" s="1540"/>
    </row>
    <row r="31" spans="1:60" ht="14.25" customHeight="1">
      <c r="A31" s="1186">
        <v>5</v>
      </c>
      <c r="B31" s="834"/>
      <c r="C31" s="836"/>
      <c r="D31" s="836"/>
      <c r="E31" s="1534"/>
      <c r="F31" s="836"/>
      <c r="G31" s="836"/>
      <c r="H31" s="835"/>
      <c r="I31" s="835"/>
      <c r="J31" s="835"/>
      <c r="K31" s="836"/>
      <c r="L31" s="1535"/>
      <c r="M31" s="1186">
        <v>5</v>
      </c>
      <c r="N31" s="1536"/>
      <c r="O31" s="836"/>
      <c r="P31" s="834"/>
      <c r="Q31" s="834"/>
      <c r="R31" s="835"/>
      <c r="S31" s="835"/>
      <c r="T31" s="836"/>
      <c r="U31" s="1537"/>
      <c r="V31" s="1538"/>
      <c r="W31" s="834"/>
      <c r="X31" s="836"/>
      <c r="Y31" s="1539"/>
      <c r="Z31" s="1539"/>
      <c r="AA31" s="834"/>
      <c r="AB31" s="1534"/>
      <c r="AC31" s="1539"/>
      <c r="AD31" s="834"/>
      <c r="AE31" s="1186">
        <v>5</v>
      </c>
      <c r="AF31" s="836"/>
      <c r="AG31" s="1539"/>
      <c r="AH31" s="1539"/>
      <c r="AI31" s="834"/>
      <c r="AJ31" s="1534"/>
      <c r="AK31" s="1539"/>
      <c r="AL31" s="834"/>
      <c r="AM31" s="1534"/>
      <c r="AN31" s="834"/>
      <c r="AO31" s="1534"/>
      <c r="AP31" s="834"/>
      <c r="AQ31" s="836"/>
      <c r="AR31" s="1186">
        <v>5</v>
      </c>
      <c r="AS31" s="834"/>
      <c r="AT31" s="834"/>
      <c r="AU31" s="834"/>
      <c r="AV31" s="834"/>
      <c r="AW31" s="834"/>
      <c r="AX31" s="834"/>
      <c r="AY31" s="835"/>
      <c r="AZ31" s="834"/>
      <c r="BA31" s="834"/>
      <c r="BB31" s="836"/>
      <c r="BC31" s="836"/>
      <c r="BD31" s="834"/>
      <c r="BE31" s="834"/>
      <c r="BF31" s="1536"/>
      <c r="BG31" s="844"/>
      <c r="BH31" s="1541"/>
    </row>
    <row r="32" spans="1:60" ht="14.25" customHeight="1">
      <c r="A32" s="1188">
        <v>6</v>
      </c>
      <c r="B32" s="834"/>
      <c r="C32" s="836"/>
      <c r="D32" s="836"/>
      <c r="E32" s="1534"/>
      <c r="F32" s="836"/>
      <c r="G32" s="836"/>
      <c r="H32" s="835"/>
      <c r="I32" s="835"/>
      <c r="J32" s="835"/>
      <c r="K32" s="836"/>
      <c r="L32" s="1535"/>
      <c r="M32" s="1188">
        <v>6</v>
      </c>
      <c r="N32" s="1536"/>
      <c r="O32" s="836"/>
      <c r="P32" s="834"/>
      <c r="Q32" s="834"/>
      <c r="R32" s="835"/>
      <c r="S32" s="835"/>
      <c r="T32" s="836"/>
      <c r="U32" s="1537"/>
      <c r="V32" s="1538"/>
      <c r="W32" s="834"/>
      <c r="X32" s="836"/>
      <c r="Y32" s="1539"/>
      <c r="Z32" s="1539"/>
      <c r="AA32" s="834"/>
      <c r="AB32" s="1534"/>
      <c r="AC32" s="1539"/>
      <c r="AD32" s="834"/>
      <c r="AE32" s="1188">
        <v>6</v>
      </c>
      <c r="AF32" s="836"/>
      <c r="AG32" s="1539"/>
      <c r="AH32" s="1539"/>
      <c r="AI32" s="834"/>
      <c r="AJ32" s="1534"/>
      <c r="AK32" s="1539"/>
      <c r="AL32" s="834"/>
      <c r="AM32" s="1534"/>
      <c r="AN32" s="834"/>
      <c r="AO32" s="1534"/>
      <c r="AP32" s="834"/>
      <c r="AQ32" s="836"/>
      <c r="AR32" s="1188">
        <v>6</v>
      </c>
      <c r="AS32" s="834"/>
      <c r="AT32" s="834"/>
      <c r="AU32" s="834"/>
      <c r="AV32" s="834"/>
      <c r="AW32" s="834"/>
      <c r="AX32" s="834"/>
      <c r="AY32" s="835"/>
      <c r="AZ32" s="834"/>
      <c r="BA32" s="834"/>
      <c r="BB32" s="836"/>
      <c r="BC32" s="836"/>
      <c r="BD32" s="834"/>
      <c r="BE32" s="834"/>
      <c r="BF32" s="1536"/>
      <c r="BG32" s="847"/>
      <c r="BH32" s="1542"/>
    </row>
    <row r="33" spans="1:60" ht="14.25" customHeight="1">
      <c r="A33" s="1188">
        <v>7</v>
      </c>
      <c r="B33" s="834"/>
      <c r="C33" s="836"/>
      <c r="D33" s="836"/>
      <c r="E33" s="1534"/>
      <c r="F33" s="836"/>
      <c r="G33" s="836"/>
      <c r="H33" s="835"/>
      <c r="I33" s="835"/>
      <c r="J33" s="835"/>
      <c r="K33" s="836"/>
      <c r="L33" s="1535"/>
      <c r="M33" s="1188">
        <v>7</v>
      </c>
      <c r="N33" s="1536"/>
      <c r="O33" s="836"/>
      <c r="P33" s="834"/>
      <c r="Q33" s="834"/>
      <c r="R33" s="835"/>
      <c r="S33" s="835"/>
      <c r="T33" s="836"/>
      <c r="U33" s="1537"/>
      <c r="V33" s="1538"/>
      <c r="W33" s="834"/>
      <c r="X33" s="836"/>
      <c r="Y33" s="1539"/>
      <c r="Z33" s="1539"/>
      <c r="AA33" s="834"/>
      <c r="AB33" s="1534"/>
      <c r="AC33" s="1539"/>
      <c r="AD33" s="834"/>
      <c r="AE33" s="1188">
        <v>7</v>
      </c>
      <c r="AF33" s="836"/>
      <c r="AG33" s="1539"/>
      <c r="AH33" s="1539"/>
      <c r="AI33" s="834"/>
      <c r="AJ33" s="1534"/>
      <c r="AK33" s="1539"/>
      <c r="AL33" s="834"/>
      <c r="AM33" s="1534"/>
      <c r="AN33" s="834"/>
      <c r="AO33" s="1534"/>
      <c r="AP33" s="834"/>
      <c r="AQ33" s="836"/>
      <c r="AR33" s="1188">
        <v>7</v>
      </c>
      <c r="AS33" s="834"/>
      <c r="AT33" s="834"/>
      <c r="AU33" s="834"/>
      <c r="AV33" s="834"/>
      <c r="AW33" s="834"/>
      <c r="AX33" s="834"/>
      <c r="AY33" s="835"/>
      <c r="AZ33" s="834"/>
      <c r="BA33" s="834"/>
      <c r="BB33" s="836"/>
      <c r="BC33" s="836"/>
      <c r="BD33" s="834"/>
      <c r="BE33" s="834"/>
      <c r="BF33" s="1536"/>
      <c r="BG33" s="846"/>
      <c r="BH33" s="1540"/>
    </row>
    <row r="34" spans="1:60" ht="14.25" customHeight="1">
      <c r="A34" s="1188">
        <v>8</v>
      </c>
      <c r="B34" s="834"/>
      <c r="C34" s="836"/>
      <c r="D34" s="836"/>
      <c r="E34" s="1534"/>
      <c r="F34" s="836"/>
      <c r="G34" s="836"/>
      <c r="H34" s="835"/>
      <c r="I34" s="835"/>
      <c r="J34" s="835"/>
      <c r="K34" s="836"/>
      <c r="L34" s="1535"/>
      <c r="M34" s="1188">
        <v>8</v>
      </c>
      <c r="N34" s="1536"/>
      <c r="O34" s="836"/>
      <c r="P34" s="834"/>
      <c r="Q34" s="834"/>
      <c r="R34" s="835"/>
      <c r="S34" s="835"/>
      <c r="T34" s="836"/>
      <c r="U34" s="1537"/>
      <c r="V34" s="1538"/>
      <c r="W34" s="834"/>
      <c r="X34" s="836"/>
      <c r="Y34" s="1539"/>
      <c r="Z34" s="1539"/>
      <c r="AA34" s="834"/>
      <c r="AB34" s="1534"/>
      <c r="AC34" s="1539"/>
      <c r="AD34" s="834"/>
      <c r="AE34" s="1188">
        <v>8</v>
      </c>
      <c r="AF34" s="836"/>
      <c r="AG34" s="1539"/>
      <c r="AH34" s="1539"/>
      <c r="AI34" s="834"/>
      <c r="AJ34" s="1534"/>
      <c r="AK34" s="1539"/>
      <c r="AL34" s="834"/>
      <c r="AM34" s="1534"/>
      <c r="AN34" s="834"/>
      <c r="AO34" s="1534"/>
      <c r="AP34" s="834"/>
      <c r="AQ34" s="836"/>
      <c r="AR34" s="1188">
        <v>8</v>
      </c>
      <c r="AS34" s="834"/>
      <c r="AT34" s="834"/>
      <c r="AU34" s="834"/>
      <c r="AV34" s="834"/>
      <c r="AW34" s="834"/>
      <c r="AX34" s="834"/>
      <c r="AY34" s="835"/>
      <c r="AZ34" s="834"/>
      <c r="BA34" s="834"/>
      <c r="BB34" s="836"/>
      <c r="BC34" s="836"/>
      <c r="BD34" s="834"/>
      <c r="BE34" s="834"/>
      <c r="BF34" s="1536"/>
      <c r="BG34" s="846"/>
      <c r="BH34" s="1540"/>
    </row>
    <row r="35" spans="1:60" ht="14.25" customHeight="1">
      <c r="A35" s="1188">
        <v>9</v>
      </c>
      <c r="B35" s="834"/>
      <c r="C35" s="836"/>
      <c r="D35" s="836"/>
      <c r="E35" s="1534"/>
      <c r="F35" s="836"/>
      <c r="G35" s="836"/>
      <c r="H35" s="835"/>
      <c r="I35" s="835"/>
      <c r="J35" s="835"/>
      <c r="K35" s="836"/>
      <c r="L35" s="1535"/>
      <c r="M35" s="1188">
        <v>9</v>
      </c>
      <c r="N35" s="1536"/>
      <c r="O35" s="836"/>
      <c r="P35" s="834"/>
      <c r="Q35" s="834"/>
      <c r="R35" s="835"/>
      <c r="S35" s="835"/>
      <c r="T35" s="836"/>
      <c r="U35" s="1537"/>
      <c r="V35" s="1538"/>
      <c r="W35" s="834"/>
      <c r="X35" s="836"/>
      <c r="Y35" s="1539"/>
      <c r="Z35" s="1539"/>
      <c r="AA35" s="834"/>
      <c r="AB35" s="1534"/>
      <c r="AC35" s="1539"/>
      <c r="AD35" s="834"/>
      <c r="AE35" s="1188">
        <v>9</v>
      </c>
      <c r="AF35" s="836"/>
      <c r="AG35" s="1539"/>
      <c r="AH35" s="1539"/>
      <c r="AI35" s="834"/>
      <c r="AJ35" s="1534"/>
      <c r="AK35" s="1539"/>
      <c r="AL35" s="834"/>
      <c r="AM35" s="1534"/>
      <c r="AN35" s="834"/>
      <c r="AO35" s="1534"/>
      <c r="AP35" s="834"/>
      <c r="AQ35" s="836"/>
      <c r="AR35" s="1188">
        <v>9</v>
      </c>
      <c r="AS35" s="834"/>
      <c r="AT35" s="834"/>
      <c r="AU35" s="834"/>
      <c r="AV35" s="834"/>
      <c r="AW35" s="834"/>
      <c r="AX35" s="834"/>
      <c r="AY35" s="835"/>
      <c r="AZ35" s="834"/>
      <c r="BA35" s="834"/>
      <c r="BB35" s="836"/>
      <c r="BC35" s="836"/>
      <c r="BD35" s="834"/>
      <c r="BE35" s="834"/>
      <c r="BF35" s="1536"/>
      <c r="BG35" s="846"/>
      <c r="BH35" s="1540"/>
    </row>
    <row r="36" spans="1:60" ht="14.25" customHeight="1">
      <c r="A36" s="1188">
        <v>10</v>
      </c>
      <c r="B36" s="834"/>
      <c r="C36" s="836"/>
      <c r="D36" s="836"/>
      <c r="E36" s="1534"/>
      <c r="F36" s="836"/>
      <c r="G36" s="836"/>
      <c r="H36" s="835"/>
      <c r="I36" s="835"/>
      <c r="J36" s="835"/>
      <c r="K36" s="836"/>
      <c r="L36" s="1535"/>
      <c r="M36" s="1188">
        <v>10</v>
      </c>
      <c r="N36" s="1536"/>
      <c r="O36" s="836"/>
      <c r="P36" s="834"/>
      <c r="Q36" s="834"/>
      <c r="R36" s="835"/>
      <c r="S36" s="835"/>
      <c r="T36" s="836"/>
      <c r="U36" s="1537"/>
      <c r="V36" s="1538"/>
      <c r="W36" s="834"/>
      <c r="X36" s="836"/>
      <c r="Y36" s="1539"/>
      <c r="Z36" s="1539"/>
      <c r="AA36" s="834"/>
      <c r="AB36" s="1534"/>
      <c r="AC36" s="1539"/>
      <c r="AD36" s="834"/>
      <c r="AE36" s="1188">
        <v>10</v>
      </c>
      <c r="AF36" s="836"/>
      <c r="AG36" s="1539"/>
      <c r="AH36" s="1539"/>
      <c r="AI36" s="834"/>
      <c r="AJ36" s="1534"/>
      <c r="AK36" s="1539"/>
      <c r="AL36" s="834"/>
      <c r="AM36" s="1534"/>
      <c r="AN36" s="834"/>
      <c r="AO36" s="1534"/>
      <c r="AP36" s="834"/>
      <c r="AQ36" s="836"/>
      <c r="AR36" s="1188">
        <v>10</v>
      </c>
      <c r="AS36" s="834"/>
      <c r="AT36" s="834"/>
      <c r="AU36" s="834"/>
      <c r="AV36" s="834"/>
      <c r="AW36" s="834"/>
      <c r="AX36" s="834"/>
      <c r="AY36" s="835"/>
      <c r="AZ36" s="834"/>
      <c r="BA36" s="834"/>
      <c r="BB36" s="836"/>
      <c r="BC36" s="836"/>
      <c r="BD36" s="834"/>
      <c r="BE36" s="834"/>
      <c r="BF36" s="1536"/>
      <c r="BG36" s="844"/>
      <c r="BH36" s="1541"/>
    </row>
    <row r="37" spans="1:60" ht="14.25" customHeight="1">
      <c r="A37" s="1186">
        <v>11</v>
      </c>
      <c r="B37" s="834"/>
      <c r="C37" s="836"/>
      <c r="D37" s="836"/>
      <c r="E37" s="1534"/>
      <c r="F37" s="836"/>
      <c r="G37" s="836"/>
      <c r="H37" s="835"/>
      <c r="I37" s="835"/>
      <c r="J37" s="835"/>
      <c r="K37" s="836"/>
      <c r="L37" s="1535"/>
      <c r="M37" s="1186">
        <v>11</v>
      </c>
      <c r="N37" s="1536"/>
      <c r="O37" s="836"/>
      <c r="P37" s="834"/>
      <c r="Q37" s="834"/>
      <c r="R37" s="835"/>
      <c r="S37" s="835"/>
      <c r="T37" s="836"/>
      <c r="U37" s="1537"/>
      <c r="V37" s="1538"/>
      <c r="W37" s="834"/>
      <c r="X37" s="836"/>
      <c r="Y37" s="1539"/>
      <c r="Z37" s="1539"/>
      <c r="AA37" s="834"/>
      <c r="AB37" s="1534"/>
      <c r="AC37" s="1539"/>
      <c r="AD37" s="834"/>
      <c r="AE37" s="1186">
        <v>11</v>
      </c>
      <c r="AF37" s="836"/>
      <c r="AG37" s="1539"/>
      <c r="AH37" s="1539"/>
      <c r="AI37" s="834"/>
      <c r="AJ37" s="1534"/>
      <c r="AK37" s="1539"/>
      <c r="AL37" s="834"/>
      <c r="AM37" s="1534"/>
      <c r="AN37" s="834"/>
      <c r="AO37" s="1534"/>
      <c r="AP37" s="834"/>
      <c r="AQ37" s="836"/>
      <c r="AR37" s="1186">
        <v>11</v>
      </c>
      <c r="AS37" s="834"/>
      <c r="AT37" s="834"/>
      <c r="AU37" s="834"/>
      <c r="AV37" s="834"/>
      <c r="AW37" s="834"/>
      <c r="AX37" s="834"/>
      <c r="AY37" s="835"/>
      <c r="AZ37" s="834"/>
      <c r="BA37" s="834"/>
      <c r="BB37" s="836"/>
      <c r="BC37" s="836"/>
      <c r="BD37" s="834"/>
      <c r="BE37" s="834"/>
      <c r="BF37" s="1536"/>
      <c r="BG37" s="847"/>
      <c r="BH37" s="1542"/>
    </row>
    <row r="38" spans="1:60" ht="14.25" customHeight="1">
      <c r="A38" s="1186">
        <v>12</v>
      </c>
      <c r="B38" s="834"/>
      <c r="C38" s="836"/>
      <c r="D38" s="836"/>
      <c r="E38" s="1534"/>
      <c r="F38" s="836"/>
      <c r="G38" s="836"/>
      <c r="H38" s="835"/>
      <c r="I38" s="835"/>
      <c r="J38" s="835"/>
      <c r="K38" s="836"/>
      <c r="L38" s="1535"/>
      <c r="M38" s="1186">
        <v>12</v>
      </c>
      <c r="N38" s="1536"/>
      <c r="O38" s="836"/>
      <c r="P38" s="834"/>
      <c r="Q38" s="834"/>
      <c r="R38" s="835"/>
      <c r="S38" s="835"/>
      <c r="T38" s="836"/>
      <c r="U38" s="1537"/>
      <c r="V38" s="1538"/>
      <c r="W38" s="834"/>
      <c r="X38" s="836"/>
      <c r="Y38" s="1539"/>
      <c r="Z38" s="1539"/>
      <c r="AA38" s="834"/>
      <c r="AB38" s="1534"/>
      <c r="AC38" s="1539"/>
      <c r="AD38" s="834"/>
      <c r="AE38" s="1186">
        <v>12</v>
      </c>
      <c r="AF38" s="836"/>
      <c r="AG38" s="1539"/>
      <c r="AH38" s="1539"/>
      <c r="AI38" s="834"/>
      <c r="AJ38" s="1534"/>
      <c r="AK38" s="1539"/>
      <c r="AL38" s="834"/>
      <c r="AM38" s="1534"/>
      <c r="AN38" s="834"/>
      <c r="AO38" s="1534"/>
      <c r="AP38" s="834"/>
      <c r="AQ38" s="836"/>
      <c r="AR38" s="1186">
        <v>12</v>
      </c>
      <c r="AS38" s="834"/>
      <c r="AT38" s="834"/>
      <c r="AU38" s="834"/>
      <c r="AV38" s="834"/>
      <c r="AW38" s="834"/>
      <c r="AX38" s="834"/>
      <c r="AY38" s="835"/>
      <c r="AZ38" s="834"/>
      <c r="BA38" s="834"/>
      <c r="BB38" s="836"/>
      <c r="BC38" s="836"/>
      <c r="BD38" s="834"/>
      <c r="BE38" s="834"/>
      <c r="BF38" s="1536"/>
      <c r="BG38" s="846"/>
      <c r="BH38" s="1540"/>
    </row>
    <row r="39" spans="1:60" ht="14.25" customHeight="1">
      <c r="A39" s="1186">
        <v>13</v>
      </c>
      <c r="B39" s="834"/>
      <c r="C39" s="836"/>
      <c r="D39" s="836"/>
      <c r="E39" s="1534"/>
      <c r="F39" s="836"/>
      <c r="G39" s="836"/>
      <c r="H39" s="835"/>
      <c r="I39" s="835"/>
      <c r="J39" s="835"/>
      <c r="K39" s="836"/>
      <c r="L39" s="1535"/>
      <c r="M39" s="1186">
        <v>13</v>
      </c>
      <c r="N39" s="1536"/>
      <c r="O39" s="836"/>
      <c r="P39" s="834"/>
      <c r="Q39" s="834"/>
      <c r="R39" s="835"/>
      <c r="S39" s="835"/>
      <c r="T39" s="836"/>
      <c r="U39" s="1537"/>
      <c r="V39" s="1538"/>
      <c r="W39" s="834"/>
      <c r="X39" s="836"/>
      <c r="Y39" s="1539"/>
      <c r="Z39" s="1539"/>
      <c r="AA39" s="834"/>
      <c r="AB39" s="1534"/>
      <c r="AC39" s="1539"/>
      <c r="AD39" s="834"/>
      <c r="AE39" s="1186">
        <v>13</v>
      </c>
      <c r="AF39" s="836"/>
      <c r="AG39" s="1539"/>
      <c r="AH39" s="1539"/>
      <c r="AI39" s="834"/>
      <c r="AJ39" s="1534"/>
      <c r="AK39" s="1539"/>
      <c r="AL39" s="834"/>
      <c r="AM39" s="1534"/>
      <c r="AN39" s="834"/>
      <c r="AO39" s="1534"/>
      <c r="AP39" s="834"/>
      <c r="AQ39" s="836"/>
      <c r="AR39" s="1186">
        <v>13</v>
      </c>
      <c r="AS39" s="834"/>
      <c r="AT39" s="834"/>
      <c r="AU39" s="834"/>
      <c r="AV39" s="834"/>
      <c r="AW39" s="834"/>
      <c r="AX39" s="835"/>
      <c r="AY39" s="834"/>
      <c r="AZ39" s="834"/>
      <c r="BA39" s="836"/>
      <c r="BB39" s="836"/>
      <c r="BC39" s="834"/>
      <c r="BD39" s="834"/>
      <c r="BE39" s="1536"/>
      <c r="BF39" s="846"/>
      <c r="BG39" s="1540"/>
    </row>
    <row r="40" spans="1:60" ht="14.25" customHeight="1">
      <c r="A40" s="1186">
        <v>14</v>
      </c>
      <c r="B40" s="834"/>
      <c r="C40" s="836"/>
      <c r="D40" s="836"/>
      <c r="E40" s="1534"/>
      <c r="F40" s="836"/>
      <c r="G40" s="836"/>
      <c r="H40" s="835"/>
      <c r="I40" s="835"/>
      <c r="J40" s="835"/>
      <c r="K40" s="836"/>
      <c r="L40" s="1535"/>
      <c r="M40" s="1186">
        <v>14</v>
      </c>
      <c r="N40" s="1536"/>
      <c r="O40" s="836"/>
      <c r="P40" s="834"/>
      <c r="Q40" s="834"/>
      <c r="R40" s="835"/>
      <c r="S40" s="835"/>
      <c r="T40" s="836"/>
      <c r="U40" s="1537"/>
      <c r="V40" s="1538"/>
      <c r="W40" s="834"/>
      <c r="X40" s="836"/>
      <c r="Y40" s="1539"/>
      <c r="Z40" s="1539"/>
      <c r="AA40" s="834"/>
      <c r="AB40" s="1534"/>
      <c r="AC40" s="1539"/>
      <c r="AD40" s="834"/>
      <c r="AE40" s="1186">
        <v>14</v>
      </c>
      <c r="AF40" s="836"/>
      <c r="AG40" s="1539"/>
      <c r="AH40" s="1539"/>
      <c r="AI40" s="834"/>
      <c r="AJ40" s="1534"/>
      <c r="AK40" s="1539"/>
      <c r="AL40" s="834"/>
      <c r="AM40" s="1534"/>
      <c r="AN40" s="834"/>
      <c r="AO40" s="1534"/>
      <c r="AP40" s="834"/>
      <c r="AQ40" s="836"/>
      <c r="AR40" s="1186">
        <v>14</v>
      </c>
      <c r="AS40" s="834"/>
      <c r="AT40" s="834"/>
      <c r="AU40" s="834"/>
      <c r="AV40" s="834"/>
      <c r="AW40" s="834"/>
      <c r="AX40" s="835"/>
      <c r="AY40" s="834"/>
      <c r="AZ40" s="834"/>
      <c r="BA40" s="836"/>
      <c r="BB40" s="836"/>
      <c r="BC40" s="834"/>
      <c r="BD40" s="834"/>
      <c r="BE40" s="1536"/>
      <c r="BF40" s="846"/>
      <c r="BG40" s="1540"/>
    </row>
    <row r="41" spans="1:60" ht="14.25" customHeight="1">
      <c r="A41" s="1188">
        <v>15</v>
      </c>
      <c r="B41" s="834"/>
      <c r="C41" s="836"/>
      <c r="D41" s="836"/>
      <c r="E41" s="1534"/>
      <c r="F41" s="836"/>
      <c r="G41" s="836"/>
      <c r="H41" s="835"/>
      <c r="I41" s="835"/>
      <c r="J41" s="835"/>
      <c r="K41" s="836"/>
      <c r="L41" s="1535"/>
      <c r="M41" s="1188">
        <v>15</v>
      </c>
      <c r="N41" s="1536"/>
      <c r="O41" s="836"/>
      <c r="P41" s="834"/>
      <c r="Q41" s="834"/>
      <c r="R41" s="835"/>
      <c r="S41" s="835"/>
      <c r="T41" s="836"/>
      <c r="U41" s="1537"/>
      <c r="V41" s="1538"/>
      <c r="W41" s="834"/>
      <c r="X41" s="836"/>
      <c r="Y41" s="1539"/>
      <c r="Z41" s="1539"/>
      <c r="AA41" s="834"/>
      <c r="AB41" s="1534"/>
      <c r="AC41" s="1539"/>
      <c r="AD41" s="834"/>
      <c r="AE41" s="1188">
        <v>15</v>
      </c>
      <c r="AF41" s="836"/>
      <c r="AG41" s="1539"/>
      <c r="AH41" s="1539"/>
      <c r="AI41" s="834"/>
      <c r="AJ41" s="1534"/>
      <c r="AK41" s="1539"/>
      <c r="AL41" s="834"/>
      <c r="AM41" s="1534"/>
      <c r="AN41" s="834"/>
      <c r="AO41" s="1534"/>
      <c r="AP41" s="834"/>
      <c r="AQ41" s="836"/>
      <c r="AR41" s="1188">
        <v>15</v>
      </c>
      <c r="AS41" s="834"/>
      <c r="AT41" s="834"/>
      <c r="AU41" s="834"/>
      <c r="AV41" s="834"/>
      <c r="AW41" s="834"/>
      <c r="AX41" s="835"/>
      <c r="AY41" s="834"/>
      <c r="AZ41" s="834"/>
      <c r="BA41" s="836"/>
      <c r="BB41" s="836"/>
      <c r="BC41" s="834"/>
      <c r="BD41" s="834"/>
      <c r="BE41" s="1536"/>
      <c r="BF41" s="844"/>
      <c r="BG41" s="1543"/>
    </row>
    <row r="42" spans="1:60">
      <c r="P42" s="1" t="s">
        <v>948</v>
      </c>
      <c r="Q42" s="1" t="s">
        <v>949</v>
      </c>
      <c r="Y42" s="837"/>
      <c r="Z42" s="837"/>
      <c r="AA42" s="837"/>
      <c r="AB42" s="837"/>
      <c r="AC42" s="837"/>
      <c r="AD42" s="837"/>
      <c r="AG42" s="837"/>
      <c r="AH42" s="837"/>
      <c r="AI42" s="837"/>
      <c r="AJ42" s="837"/>
      <c r="AK42" s="837"/>
      <c r="AL42" s="837"/>
      <c r="AM42" s="837"/>
      <c r="AN42" s="837"/>
      <c r="AO42" s="837"/>
      <c r="AP42" s="837"/>
      <c r="AQ42" s="837"/>
      <c r="AR42" s="837"/>
      <c r="AS42" s="837"/>
      <c r="AT42" s="837"/>
      <c r="AU42" s="837"/>
      <c r="AV42" s="837"/>
      <c r="AY42" s="837"/>
      <c r="AZ42" s="837"/>
      <c r="BA42" s="837"/>
      <c r="BB42" s="837"/>
      <c r="BC42" s="837"/>
      <c r="BD42" s="837"/>
    </row>
    <row r="43" spans="1:60">
      <c r="Y43" s="837"/>
      <c r="Z43" s="837"/>
      <c r="AA43" s="837"/>
      <c r="AB43" s="837"/>
      <c r="AC43" s="837"/>
      <c r="AD43" s="837"/>
      <c r="AG43" s="837"/>
      <c r="AH43" s="837"/>
      <c r="AI43" s="837"/>
      <c r="AJ43" s="837"/>
      <c r="AK43" s="837"/>
      <c r="AL43" s="837"/>
      <c r="AM43" s="837"/>
      <c r="AN43" s="837"/>
      <c r="AO43" s="837"/>
      <c r="AP43" s="837"/>
      <c r="AQ43" s="837"/>
      <c r="AR43" s="837"/>
      <c r="AS43" s="837"/>
      <c r="AT43" s="837"/>
      <c r="AU43" s="837"/>
      <c r="AV43" s="837"/>
      <c r="AY43" s="837"/>
      <c r="AZ43" s="837"/>
      <c r="BA43" s="837"/>
      <c r="BB43" s="837"/>
      <c r="BC43" s="837"/>
      <c r="BD43" s="837"/>
    </row>
    <row r="44" spans="1:60">
      <c r="Y44" s="837"/>
      <c r="Z44" s="837"/>
      <c r="AA44" s="837"/>
      <c r="AB44" s="837"/>
      <c r="AC44" s="837"/>
      <c r="AD44" s="837"/>
      <c r="AG44" s="837"/>
      <c r="AH44" s="837"/>
      <c r="AI44" s="837"/>
      <c r="AJ44" s="837"/>
      <c r="AK44" s="837"/>
      <c r="AL44" s="837"/>
      <c r="AM44" s="837"/>
      <c r="AN44" s="837"/>
      <c r="AO44" s="837"/>
      <c r="AP44" s="837"/>
      <c r="AQ44" s="837"/>
      <c r="AR44" s="837"/>
      <c r="AS44" s="837"/>
      <c r="AT44" s="837"/>
      <c r="AU44" s="837"/>
      <c r="AV44" s="837"/>
      <c r="AY44" s="837"/>
      <c r="AZ44" s="837"/>
      <c r="BA44" s="837"/>
      <c r="BB44" s="837"/>
      <c r="BC44" s="837"/>
      <c r="BD44" s="837"/>
    </row>
    <row r="45" spans="1:60">
      <c r="Y45" s="837"/>
      <c r="Z45" s="837"/>
      <c r="AA45" s="837"/>
      <c r="AB45" s="837"/>
      <c r="AC45" s="837"/>
      <c r="AD45" s="837"/>
      <c r="AG45" s="837"/>
      <c r="AH45" s="837"/>
      <c r="AI45" s="837"/>
      <c r="AJ45" s="837"/>
      <c r="AK45" s="837"/>
      <c r="AL45" s="837"/>
      <c r="AM45" s="837"/>
      <c r="AN45" s="837"/>
      <c r="AO45" s="837"/>
      <c r="AP45" s="837"/>
      <c r="AQ45" s="837"/>
      <c r="AR45" s="837"/>
      <c r="AS45" s="837"/>
      <c r="AT45" s="837"/>
      <c r="AU45" s="837"/>
      <c r="AV45" s="837"/>
      <c r="AY45" s="837"/>
      <c r="AZ45" s="837"/>
      <c r="BA45" s="837"/>
      <c r="BB45" s="837"/>
      <c r="BC45" s="837"/>
      <c r="BD45" s="837"/>
    </row>
    <row r="46" spans="1:60">
      <c r="Y46" s="837"/>
      <c r="Z46" s="837"/>
      <c r="AA46" s="837"/>
      <c r="AB46" s="837"/>
      <c r="AC46" s="837"/>
      <c r="AD46" s="837"/>
      <c r="AG46" s="837"/>
      <c r="AH46" s="837"/>
      <c r="AI46" s="837"/>
      <c r="AJ46" s="837"/>
      <c r="AK46" s="837"/>
      <c r="AL46" s="837"/>
      <c r="AM46" s="837"/>
      <c r="AN46" s="837"/>
      <c r="AO46" s="837"/>
      <c r="AP46" s="837"/>
      <c r="AQ46" s="837"/>
      <c r="AR46" s="837"/>
      <c r="AS46" s="837"/>
      <c r="AT46" s="837"/>
      <c r="AU46" s="837"/>
      <c r="AV46" s="837"/>
      <c r="AY46" s="837"/>
      <c r="AZ46" s="837"/>
      <c r="BA46" s="837"/>
      <c r="BB46" s="837"/>
      <c r="BC46" s="837"/>
      <c r="BD46" s="837"/>
    </row>
    <row r="47" spans="1:60">
      <c r="Y47" s="837"/>
      <c r="Z47" s="837"/>
      <c r="AA47" s="837"/>
      <c r="AB47" s="837"/>
      <c r="AC47" s="837"/>
      <c r="AD47" s="837"/>
      <c r="AG47" s="837"/>
      <c r="AH47" s="837"/>
      <c r="AI47" s="837"/>
      <c r="AJ47" s="837"/>
      <c r="AK47" s="837"/>
      <c r="AL47" s="837"/>
      <c r="AM47" s="837"/>
      <c r="AN47" s="837"/>
      <c r="AO47" s="837"/>
      <c r="AP47" s="837"/>
      <c r="AQ47" s="837"/>
      <c r="AR47" s="837"/>
      <c r="AS47" s="837"/>
      <c r="AT47" s="837"/>
      <c r="AU47" s="837"/>
      <c r="AV47" s="837"/>
      <c r="AY47" s="837"/>
      <c r="AZ47" s="837"/>
      <c r="BA47" s="837"/>
      <c r="BB47" s="837"/>
      <c r="BC47" s="837"/>
      <c r="BD47" s="837"/>
    </row>
    <row r="48" spans="1:60">
      <c r="Y48" s="837"/>
      <c r="Z48" s="837"/>
      <c r="AA48" s="837"/>
      <c r="AB48" s="837"/>
      <c r="AC48" s="837"/>
      <c r="AD48" s="837"/>
      <c r="AG48" s="837"/>
      <c r="AH48" s="837"/>
      <c r="AI48" s="837"/>
      <c r="AJ48" s="837"/>
      <c r="AK48" s="837"/>
      <c r="AL48" s="837"/>
      <c r="AM48" s="837"/>
      <c r="AN48" s="837"/>
      <c r="AO48" s="837"/>
      <c r="AP48" s="837"/>
      <c r="AQ48" s="837"/>
      <c r="AR48" s="837"/>
      <c r="AS48" s="837"/>
      <c r="AT48" s="837"/>
      <c r="AU48" s="837"/>
      <c r="AV48" s="837"/>
      <c r="AY48" s="837"/>
      <c r="AZ48" s="837"/>
      <c r="BA48" s="837"/>
      <c r="BB48" s="837"/>
      <c r="BC48" s="837"/>
      <c r="BD48" s="837"/>
    </row>
    <row r="49" spans="1:57">
      <c r="Y49" s="837"/>
      <c r="Z49" s="837"/>
      <c r="AA49" s="837"/>
      <c r="AB49" s="837"/>
      <c r="AC49" s="837"/>
      <c r="AD49" s="837"/>
      <c r="AG49" s="837"/>
      <c r="AH49" s="837"/>
      <c r="AI49" s="837"/>
      <c r="AJ49" s="837"/>
      <c r="AK49" s="837"/>
      <c r="AL49" s="837"/>
      <c r="AM49" s="837"/>
      <c r="AN49" s="837"/>
      <c r="AO49" s="837"/>
      <c r="AP49" s="837"/>
      <c r="AQ49" s="837"/>
      <c r="AR49" s="837"/>
      <c r="AS49" s="837"/>
      <c r="AT49" s="837"/>
      <c r="AU49" s="837"/>
      <c r="AV49" s="837"/>
      <c r="AY49" s="837"/>
      <c r="AZ49" s="837"/>
      <c r="BA49" s="837"/>
      <c r="BB49" s="837"/>
      <c r="BC49" s="837"/>
      <c r="BD49" s="837"/>
    </row>
    <row r="50" spans="1:57">
      <c r="Y50" s="837"/>
      <c r="Z50" s="837"/>
      <c r="AA50" s="837"/>
      <c r="AB50" s="837"/>
      <c r="AC50" s="837"/>
      <c r="AD50" s="837"/>
      <c r="AG50" s="837"/>
      <c r="AH50" s="837"/>
      <c r="AI50" s="837"/>
      <c r="AJ50" s="837"/>
      <c r="AK50" s="837"/>
      <c r="AL50" s="837"/>
      <c r="AM50" s="837"/>
      <c r="AN50" s="837"/>
      <c r="AO50" s="837"/>
      <c r="AP50" s="837"/>
      <c r="AQ50" s="837"/>
      <c r="AR50" s="837"/>
      <c r="AS50" s="837"/>
      <c r="AT50" s="837"/>
      <c r="AU50" s="837"/>
      <c r="AV50" s="837"/>
      <c r="AY50" s="837"/>
      <c r="AZ50" s="837"/>
      <c r="BA50" s="837"/>
      <c r="BB50" s="837"/>
      <c r="BC50" s="837"/>
      <c r="BD50" s="837"/>
    </row>
    <row r="51" spans="1:57">
      <c r="A51" s="769"/>
      <c r="B51" s="769"/>
      <c r="C51" s="769"/>
      <c r="D51" s="769"/>
      <c r="E51" s="769"/>
      <c r="F51" s="769"/>
      <c r="G51" s="769"/>
      <c r="H51" s="769"/>
      <c r="I51" s="769"/>
      <c r="J51" s="769"/>
      <c r="K51" s="769"/>
      <c r="L51" s="769"/>
      <c r="M51" s="769"/>
      <c r="N51" s="769"/>
      <c r="O51" s="769"/>
      <c r="R51" s="769"/>
      <c r="S51" s="769"/>
      <c r="T51" s="769"/>
      <c r="U51" s="769"/>
      <c r="V51" s="769"/>
      <c r="W51" s="769"/>
      <c r="X51" s="769"/>
      <c r="Y51" s="837"/>
      <c r="Z51" s="837"/>
      <c r="AA51" s="837"/>
      <c r="AB51" s="837"/>
      <c r="AC51" s="837"/>
      <c r="AD51" s="837"/>
      <c r="AG51" s="837"/>
      <c r="AH51" s="837"/>
      <c r="AI51" s="837"/>
      <c r="AJ51" s="837"/>
      <c r="AK51" s="837"/>
      <c r="AL51" s="837"/>
      <c r="AM51" s="837"/>
      <c r="AN51" s="837"/>
      <c r="AO51" s="837"/>
      <c r="AP51" s="837"/>
      <c r="AQ51" s="837"/>
      <c r="AR51" s="837"/>
      <c r="AS51" s="837"/>
      <c r="AT51" s="837"/>
      <c r="AU51" s="837"/>
      <c r="AV51" s="837"/>
      <c r="AY51" s="837"/>
      <c r="AZ51" s="837"/>
      <c r="BA51" s="837"/>
      <c r="BB51" s="837"/>
      <c r="BC51" s="837"/>
      <c r="BD51" s="837"/>
      <c r="BE51" s="769"/>
    </row>
    <row r="52" spans="1:57">
      <c r="A52" s="769"/>
      <c r="B52" s="769"/>
      <c r="C52" s="769"/>
      <c r="D52" s="769"/>
      <c r="E52" s="769"/>
      <c r="F52" s="769"/>
      <c r="G52" s="769"/>
      <c r="H52" s="769"/>
      <c r="I52" s="769"/>
      <c r="J52" s="769"/>
      <c r="K52" s="769"/>
      <c r="L52" s="769"/>
      <c r="M52" s="769"/>
      <c r="N52" s="769"/>
      <c r="O52" s="769"/>
      <c r="R52" s="769"/>
      <c r="S52" s="769"/>
      <c r="T52" s="769"/>
      <c r="U52" s="769"/>
      <c r="V52" s="769"/>
      <c r="W52" s="769"/>
      <c r="X52" s="769"/>
      <c r="Y52" s="837"/>
      <c r="Z52" s="837"/>
      <c r="AA52" s="837"/>
      <c r="AB52" s="837"/>
      <c r="AC52" s="837"/>
      <c r="AD52" s="837"/>
      <c r="AG52" s="837"/>
      <c r="AH52" s="837"/>
      <c r="AI52" s="837"/>
      <c r="AJ52" s="837"/>
      <c r="AK52" s="837"/>
      <c r="AL52" s="837"/>
      <c r="AM52" s="837"/>
      <c r="AN52" s="837"/>
      <c r="AO52" s="837"/>
      <c r="AP52" s="837"/>
      <c r="AQ52" s="837"/>
      <c r="AR52" s="837"/>
      <c r="AS52" s="837"/>
      <c r="AT52" s="837"/>
      <c r="AU52" s="837"/>
      <c r="AV52" s="837"/>
      <c r="AY52" s="837"/>
      <c r="AZ52" s="837"/>
      <c r="BA52" s="837"/>
      <c r="BB52" s="837"/>
      <c r="BC52" s="837"/>
      <c r="BD52" s="837"/>
      <c r="BE52" s="769"/>
    </row>
    <row r="53" spans="1:57">
      <c r="A53" s="769"/>
      <c r="B53" s="769"/>
      <c r="C53" s="769"/>
      <c r="D53" s="769"/>
      <c r="E53" s="769"/>
      <c r="F53" s="769"/>
      <c r="G53" s="769"/>
      <c r="H53" s="769"/>
      <c r="I53" s="769"/>
      <c r="J53" s="769"/>
      <c r="K53" s="769"/>
      <c r="L53" s="769"/>
      <c r="M53" s="769"/>
      <c r="N53" s="769"/>
      <c r="O53" s="769"/>
      <c r="R53" s="769"/>
      <c r="S53" s="769"/>
      <c r="T53" s="769"/>
      <c r="U53" s="769"/>
      <c r="V53" s="769"/>
      <c r="W53" s="769"/>
      <c r="X53" s="769"/>
      <c r="Y53" s="837"/>
      <c r="Z53" s="837"/>
      <c r="AA53" s="837"/>
      <c r="AB53" s="837"/>
      <c r="AC53" s="837"/>
      <c r="AD53" s="837"/>
      <c r="AG53" s="837"/>
      <c r="AH53" s="837"/>
      <c r="AI53" s="837"/>
      <c r="AJ53" s="837"/>
      <c r="AK53" s="837"/>
      <c r="AL53" s="837"/>
      <c r="AM53" s="837"/>
      <c r="AN53" s="837"/>
      <c r="AO53" s="837"/>
      <c r="AP53" s="837"/>
      <c r="AQ53" s="837"/>
      <c r="AR53" s="837"/>
      <c r="AS53" s="837"/>
      <c r="AT53" s="837"/>
      <c r="AU53" s="837"/>
      <c r="AV53" s="837"/>
      <c r="AY53" s="837"/>
      <c r="AZ53" s="837"/>
      <c r="BA53" s="837"/>
      <c r="BB53" s="837"/>
      <c r="BC53" s="837"/>
      <c r="BD53" s="837"/>
      <c r="BE53" s="769"/>
    </row>
    <row r="54" spans="1:57">
      <c r="A54" s="769"/>
      <c r="B54" s="769"/>
      <c r="C54" s="769"/>
      <c r="D54" s="769"/>
      <c r="E54" s="769"/>
      <c r="F54" s="769"/>
      <c r="G54" s="769"/>
      <c r="H54" s="769"/>
      <c r="I54" s="769"/>
      <c r="J54" s="769"/>
      <c r="K54" s="769"/>
      <c r="L54" s="769"/>
      <c r="M54" s="769"/>
      <c r="N54" s="769"/>
      <c r="O54" s="769"/>
      <c r="R54" s="769"/>
      <c r="S54" s="769"/>
      <c r="T54" s="769"/>
      <c r="U54" s="769"/>
      <c r="V54" s="769"/>
      <c r="W54" s="769"/>
      <c r="X54" s="769"/>
      <c r="Y54" s="837"/>
      <c r="Z54" s="837"/>
      <c r="AA54" s="837"/>
      <c r="AB54" s="837"/>
      <c r="AC54" s="837"/>
      <c r="AD54" s="837"/>
      <c r="AG54" s="837"/>
      <c r="AH54" s="837"/>
      <c r="AI54" s="837"/>
      <c r="AJ54" s="837"/>
      <c r="AK54" s="837"/>
      <c r="AL54" s="837"/>
      <c r="AM54" s="837"/>
      <c r="AN54" s="837"/>
      <c r="AO54" s="837"/>
      <c r="AP54" s="837"/>
      <c r="AQ54" s="837"/>
      <c r="AR54" s="837"/>
      <c r="AS54" s="837"/>
      <c r="AT54" s="837"/>
      <c r="AU54" s="837"/>
      <c r="AV54" s="837"/>
      <c r="AY54" s="837"/>
      <c r="AZ54" s="837"/>
      <c r="BA54" s="837"/>
      <c r="BB54" s="837"/>
      <c r="BC54" s="837"/>
      <c r="BD54" s="837"/>
      <c r="BE54" s="769"/>
    </row>
    <row r="55" spans="1:57">
      <c r="A55" s="769"/>
      <c r="B55" s="769"/>
      <c r="C55" s="769"/>
      <c r="D55" s="769"/>
      <c r="E55" s="769"/>
      <c r="F55" s="769"/>
      <c r="G55" s="769"/>
      <c r="H55" s="769"/>
      <c r="I55" s="769"/>
      <c r="J55" s="769"/>
      <c r="K55" s="769"/>
      <c r="L55" s="769"/>
      <c r="M55" s="769"/>
      <c r="N55" s="769"/>
      <c r="O55" s="769"/>
      <c r="R55" s="769"/>
      <c r="S55" s="769"/>
      <c r="T55" s="769"/>
      <c r="U55" s="769"/>
      <c r="V55" s="769"/>
      <c r="W55" s="769"/>
      <c r="X55" s="769"/>
      <c r="Y55" s="837"/>
      <c r="Z55" s="837"/>
      <c r="AA55" s="837"/>
      <c r="AB55" s="837"/>
      <c r="AC55" s="837"/>
      <c r="AD55" s="837"/>
      <c r="AG55" s="837"/>
      <c r="AH55" s="837"/>
      <c r="AI55" s="837"/>
      <c r="AJ55" s="837"/>
      <c r="AK55" s="837"/>
      <c r="AL55" s="837"/>
      <c r="AM55" s="837"/>
      <c r="AN55" s="837"/>
      <c r="AO55" s="837"/>
      <c r="AP55" s="837"/>
      <c r="AQ55" s="837"/>
      <c r="AR55" s="837"/>
      <c r="AS55" s="837"/>
      <c r="AT55" s="837"/>
      <c r="AU55" s="837"/>
      <c r="AV55" s="837"/>
      <c r="AY55" s="837"/>
      <c r="AZ55" s="837"/>
      <c r="BA55" s="837"/>
      <c r="BB55" s="837"/>
      <c r="BC55" s="837"/>
      <c r="BD55" s="837"/>
      <c r="BE55" s="769"/>
    </row>
    <row r="56" spans="1:57">
      <c r="A56" s="769"/>
      <c r="B56" s="769"/>
      <c r="C56" s="769"/>
      <c r="D56" s="769"/>
      <c r="E56" s="769"/>
      <c r="F56" s="769"/>
      <c r="G56" s="769"/>
      <c r="H56" s="769"/>
      <c r="I56" s="769"/>
      <c r="J56" s="769"/>
      <c r="K56" s="769"/>
      <c r="L56" s="769"/>
      <c r="M56" s="769"/>
      <c r="N56" s="769"/>
      <c r="O56" s="769"/>
      <c r="R56" s="769"/>
      <c r="S56" s="769"/>
      <c r="T56" s="769"/>
      <c r="U56" s="769"/>
      <c r="V56" s="769"/>
      <c r="W56" s="769"/>
      <c r="X56" s="769"/>
      <c r="Y56" s="837"/>
      <c r="Z56" s="837"/>
      <c r="AA56" s="837"/>
      <c r="AB56" s="837"/>
      <c r="AC56" s="837"/>
      <c r="AD56" s="837"/>
      <c r="AG56" s="837"/>
      <c r="AH56" s="837"/>
      <c r="AI56" s="837"/>
      <c r="AJ56" s="837"/>
      <c r="AK56" s="837"/>
      <c r="AL56" s="837"/>
      <c r="AM56" s="837"/>
      <c r="AN56" s="837"/>
      <c r="AO56" s="837"/>
      <c r="AP56" s="837"/>
      <c r="AQ56" s="837"/>
      <c r="AR56" s="837"/>
      <c r="AS56" s="837"/>
      <c r="AT56" s="837"/>
      <c r="AU56" s="837"/>
      <c r="AV56" s="837"/>
      <c r="AY56" s="837"/>
      <c r="AZ56" s="837"/>
      <c r="BA56" s="837"/>
      <c r="BB56" s="837"/>
      <c r="BC56" s="837"/>
      <c r="BD56" s="837"/>
      <c r="BE56" s="769"/>
    </row>
    <row r="57" spans="1:57">
      <c r="A57" s="769"/>
      <c r="B57" s="769"/>
      <c r="C57" s="769"/>
      <c r="D57" s="769"/>
      <c r="E57" s="769"/>
      <c r="F57" s="769"/>
      <c r="G57" s="769"/>
      <c r="H57" s="769"/>
      <c r="I57" s="769"/>
      <c r="J57" s="769"/>
      <c r="K57" s="769"/>
      <c r="L57" s="769"/>
      <c r="M57" s="769"/>
      <c r="N57" s="769"/>
      <c r="O57" s="769"/>
      <c r="R57" s="769"/>
      <c r="S57" s="769"/>
      <c r="T57" s="769"/>
      <c r="U57" s="769"/>
      <c r="V57" s="769"/>
      <c r="W57" s="769"/>
      <c r="X57" s="769"/>
      <c r="Y57" s="837"/>
      <c r="Z57" s="837"/>
      <c r="AA57" s="837"/>
      <c r="AB57" s="837"/>
      <c r="AC57" s="837"/>
      <c r="AD57" s="837"/>
      <c r="AG57" s="837"/>
      <c r="AH57" s="837"/>
      <c r="AI57" s="837"/>
      <c r="AJ57" s="837"/>
      <c r="AK57" s="837"/>
      <c r="AL57" s="837"/>
      <c r="AM57" s="837"/>
      <c r="AN57" s="837"/>
      <c r="AO57" s="837"/>
      <c r="AP57" s="837"/>
      <c r="AQ57" s="837"/>
      <c r="AR57" s="837"/>
      <c r="AS57" s="837"/>
      <c r="AT57" s="837"/>
      <c r="AU57" s="837"/>
      <c r="AV57" s="837"/>
      <c r="AY57" s="837"/>
      <c r="AZ57" s="837"/>
      <c r="BA57" s="837"/>
      <c r="BB57" s="837"/>
      <c r="BC57" s="837"/>
      <c r="BD57" s="837"/>
      <c r="BE57" s="769"/>
    </row>
    <row r="58" spans="1:57">
      <c r="A58" s="769"/>
      <c r="B58" s="769"/>
      <c r="C58" s="769"/>
      <c r="D58" s="769"/>
      <c r="E58" s="769"/>
      <c r="F58" s="769"/>
      <c r="G58" s="769"/>
      <c r="H58" s="769"/>
      <c r="I58" s="769"/>
      <c r="J58" s="769"/>
      <c r="K58" s="769"/>
      <c r="L58" s="769"/>
      <c r="M58" s="769"/>
      <c r="N58" s="769"/>
      <c r="O58" s="769"/>
      <c r="R58" s="769"/>
      <c r="S58" s="769"/>
      <c r="T58" s="769"/>
      <c r="U58" s="769"/>
      <c r="V58" s="769"/>
      <c r="W58" s="769"/>
      <c r="X58" s="769"/>
      <c r="Y58" s="837"/>
      <c r="Z58" s="837"/>
      <c r="AA58" s="837"/>
      <c r="AB58" s="837"/>
      <c r="AC58" s="837"/>
      <c r="AD58" s="837"/>
      <c r="AG58" s="837"/>
      <c r="AH58" s="837"/>
      <c r="AI58" s="837"/>
      <c r="AJ58" s="837"/>
      <c r="AK58" s="837"/>
      <c r="AL58" s="837"/>
      <c r="AM58" s="837"/>
      <c r="AN58" s="837"/>
      <c r="AO58" s="837"/>
      <c r="AP58" s="837"/>
      <c r="AQ58" s="837"/>
      <c r="AR58" s="837"/>
      <c r="AS58" s="837"/>
      <c r="AT58" s="837"/>
      <c r="AU58" s="837"/>
      <c r="AV58" s="837"/>
      <c r="AY58" s="837"/>
      <c r="AZ58" s="837"/>
      <c r="BA58" s="837"/>
      <c r="BB58" s="837"/>
      <c r="BC58" s="837"/>
      <c r="BD58" s="837"/>
      <c r="BE58" s="769"/>
    </row>
    <row r="59" spans="1:57">
      <c r="A59" s="769"/>
      <c r="B59" s="769"/>
      <c r="C59" s="769"/>
      <c r="D59" s="769"/>
      <c r="E59" s="769"/>
      <c r="F59" s="769"/>
      <c r="G59" s="769"/>
      <c r="H59" s="769"/>
      <c r="I59" s="769"/>
      <c r="J59" s="769"/>
      <c r="K59" s="769"/>
      <c r="L59" s="769"/>
      <c r="M59" s="769"/>
      <c r="N59" s="769"/>
      <c r="O59" s="769"/>
      <c r="R59" s="769"/>
      <c r="S59" s="769"/>
      <c r="T59" s="769"/>
      <c r="U59" s="769"/>
      <c r="V59" s="769"/>
      <c r="W59" s="769"/>
      <c r="X59" s="769"/>
      <c r="Y59" s="837"/>
      <c r="Z59" s="837"/>
      <c r="AA59" s="837"/>
      <c r="AB59" s="837"/>
      <c r="AC59" s="837"/>
      <c r="AD59" s="837"/>
      <c r="AG59" s="837"/>
      <c r="AH59" s="837"/>
      <c r="AI59" s="837"/>
      <c r="AJ59" s="837"/>
      <c r="AK59" s="837"/>
      <c r="AL59" s="837"/>
      <c r="AM59" s="837"/>
      <c r="AN59" s="837"/>
      <c r="AO59" s="837"/>
      <c r="AP59" s="837"/>
      <c r="AQ59" s="837"/>
      <c r="AR59" s="837"/>
      <c r="AS59" s="837"/>
      <c r="AT59" s="837"/>
      <c r="AU59" s="837"/>
      <c r="AV59" s="837"/>
      <c r="AY59" s="837"/>
      <c r="AZ59" s="837"/>
      <c r="BA59" s="837"/>
      <c r="BB59" s="837"/>
      <c r="BC59" s="837"/>
      <c r="BD59" s="837"/>
      <c r="BE59" s="769"/>
    </row>
    <row r="60" spans="1:57">
      <c r="A60" s="769"/>
      <c r="B60" s="769"/>
      <c r="C60" s="769"/>
      <c r="D60" s="769"/>
      <c r="E60" s="769"/>
      <c r="F60" s="769"/>
      <c r="G60" s="769"/>
      <c r="H60" s="769"/>
      <c r="I60" s="769"/>
      <c r="J60" s="769"/>
      <c r="K60" s="769"/>
      <c r="L60" s="769"/>
      <c r="M60" s="769"/>
      <c r="N60" s="769"/>
      <c r="O60" s="769"/>
      <c r="R60" s="769"/>
      <c r="S60" s="769"/>
      <c r="T60" s="769"/>
      <c r="U60" s="769"/>
      <c r="V60" s="769"/>
      <c r="W60" s="769"/>
      <c r="X60" s="769"/>
      <c r="Y60" s="837"/>
      <c r="Z60" s="837"/>
      <c r="AA60" s="837"/>
      <c r="AB60" s="837"/>
      <c r="AC60" s="837"/>
      <c r="AD60" s="837"/>
      <c r="AG60" s="837"/>
      <c r="AH60" s="837"/>
      <c r="AI60" s="837"/>
      <c r="AJ60" s="837"/>
      <c r="AK60" s="837"/>
      <c r="AL60" s="837"/>
      <c r="AM60" s="837"/>
      <c r="AN60" s="837"/>
      <c r="AO60" s="837"/>
      <c r="AP60" s="837"/>
      <c r="AQ60" s="837"/>
      <c r="AR60" s="837"/>
      <c r="AS60" s="837"/>
      <c r="AT60" s="837"/>
      <c r="AU60" s="837"/>
      <c r="AV60" s="837"/>
      <c r="AY60" s="837"/>
      <c r="AZ60" s="837"/>
      <c r="BA60" s="837"/>
      <c r="BB60" s="837"/>
      <c r="BC60" s="837"/>
      <c r="BD60" s="837"/>
      <c r="BE60" s="769"/>
    </row>
    <row r="61" spans="1:57">
      <c r="A61" s="769"/>
      <c r="B61" s="769"/>
      <c r="C61" s="769"/>
      <c r="D61" s="769"/>
      <c r="E61" s="769"/>
      <c r="F61" s="769"/>
      <c r="G61" s="769"/>
      <c r="H61" s="769"/>
      <c r="I61" s="769"/>
      <c r="J61" s="769"/>
      <c r="K61" s="769"/>
      <c r="L61" s="769"/>
      <c r="M61" s="769"/>
      <c r="N61" s="769"/>
      <c r="O61" s="769"/>
      <c r="R61" s="769"/>
      <c r="S61" s="769"/>
      <c r="T61" s="769"/>
      <c r="U61" s="769"/>
      <c r="V61" s="769"/>
      <c r="W61" s="769"/>
      <c r="X61" s="769"/>
      <c r="Y61" s="837"/>
      <c r="Z61" s="837"/>
      <c r="AA61" s="837"/>
      <c r="AB61" s="837"/>
      <c r="AC61" s="837"/>
      <c r="AD61" s="837"/>
      <c r="AG61" s="837"/>
      <c r="AH61" s="837"/>
      <c r="AI61" s="837"/>
      <c r="AJ61" s="837"/>
      <c r="AK61" s="837"/>
      <c r="AL61" s="837"/>
      <c r="AM61" s="837"/>
      <c r="AN61" s="837"/>
      <c r="AO61" s="837"/>
      <c r="AP61" s="837"/>
      <c r="AQ61" s="837"/>
      <c r="AR61" s="837"/>
      <c r="AS61" s="837"/>
      <c r="AT61" s="837"/>
      <c r="AU61" s="837"/>
      <c r="AV61" s="837"/>
      <c r="AY61" s="837"/>
      <c r="AZ61" s="837"/>
      <c r="BA61" s="837"/>
      <c r="BB61" s="837"/>
      <c r="BC61" s="837"/>
      <c r="BD61" s="837"/>
      <c r="BE61" s="769"/>
    </row>
    <row r="62" spans="1:57">
      <c r="A62" s="769"/>
      <c r="B62" s="769"/>
      <c r="C62" s="769"/>
      <c r="D62" s="769"/>
      <c r="E62" s="769"/>
      <c r="F62" s="769"/>
      <c r="G62" s="769"/>
      <c r="H62" s="769"/>
      <c r="I62" s="769"/>
      <c r="J62" s="769"/>
      <c r="K62" s="769"/>
      <c r="L62" s="769"/>
      <c r="M62" s="769"/>
      <c r="N62" s="769"/>
      <c r="O62" s="769"/>
      <c r="R62" s="769"/>
      <c r="S62" s="769"/>
      <c r="T62" s="769"/>
      <c r="U62" s="769"/>
      <c r="V62" s="769"/>
      <c r="W62" s="769"/>
      <c r="X62" s="769"/>
      <c r="Y62" s="837"/>
      <c r="Z62" s="837"/>
      <c r="AA62" s="837"/>
      <c r="AB62" s="837"/>
      <c r="AC62" s="837"/>
      <c r="AD62" s="837"/>
      <c r="AG62" s="837"/>
      <c r="AH62" s="837"/>
      <c r="AI62" s="837"/>
      <c r="AJ62" s="837"/>
      <c r="AK62" s="837"/>
      <c r="AL62" s="837"/>
      <c r="AM62" s="837"/>
      <c r="AN62" s="837"/>
      <c r="AO62" s="837"/>
      <c r="AP62" s="837"/>
      <c r="AQ62" s="837"/>
      <c r="AR62" s="837"/>
      <c r="AS62" s="837"/>
      <c r="AT62" s="837"/>
      <c r="AU62" s="837"/>
      <c r="AV62" s="837"/>
      <c r="AY62" s="837"/>
      <c r="AZ62" s="837"/>
      <c r="BA62" s="837"/>
      <c r="BB62" s="837"/>
      <c r="BC62" s="837"/>
      <c r="BD62" s="837"/>
      <c r="BE62" s="769"/>
    </row>
    <row r="63" spans="1:57">
      <c r="A63" s="769"/>
      <c r="B63" s="769"/>
      <c r="C63" s="769"/>
      <c r="D63" s="769"/>
      <c r="E63" s="769"/>
      <c r="F63" s="769"/>
      <c r="G63" s="769"/>
      <c r="H63" s="769"/>
      <c r="I63" s="769"/>
      <c r="J63" s="769"/>
      <c r="K63" s="769"/>
      <c r="L63" s="769"/>
      <c r="M63" s="769"/>
      <c r="N63" s="769"/>
      <c r="O63" s="769"/>
      <c r="R63" s="769"/>
      <c r="S63" s="769"/>
      <c r="T63" s="769"/>
      <c r="U63" s="769"/>
      <c r="V63" s="769"/>
      <c r="W63" s="769"/>
      <c r="X63" s="769"/>
      <c r="Y63" s="837"/>
      <c r="Z63" s="837"/>
      <c r="AA63" s="837"/>
      <c r="AB63" s="837"/>
      <c r="AC63" s="837"/>
      <c r="AD63" s="837"/>
      <c r="AG63" s="837"/>
      <c r="AH63" s="837"/>
      <c r="AI63" s="837"/>
      <c r="AJ63" s="837"/>
      <c r="AK63" s="837"/>
      <c r="AL63" s="837"/>
      <c r="AM63" s="837"/>
      <c r="AN63" s="837"/>
      <c r="AO63" s="837"/>
      <c r="AP63" s="837"/>
      <c r="AQ63" s="837"/>
      <c r="AR63" s="837"/>
      <c r="AS63" s="837"/>
      <c r="AT63" s="837"/>
      <c r="AU63" s="837"/>
      <c r="AV63" s="837"/>
      <c r="AY63" s="837"/>
      <c r="AZ63" s="837"/>
      <c r="BA63" s="837"/>
      <c r="BB63" s="837"/>
      <c r="BC63" s="837"/>
      <c r="BD63" s="837"/>
      <c r="BE63" s="769"/>
    </row>
    <row r="64" spans="1:57">
      <c r="A64" s="769"/>
      <c r="B64" s="769"/>
      <c r="C64" s="769"/>
      <c r="D64" s="769"/>
      <c r="E64" s="769"/>
      <c r="F64" s="769"/>
      <c r="G64" s="769"/>
      <c r="H64" s="769"/>
      <c r="I64" s="769"/>
      <c r="J64" s="769"/>
      <c r="K64" s="769"/>
      <c r="L64" s="769"/>
      <c r="M64" s="769"/>
      <c r="N64" s="769"/>
      <c r="O64" s="769"/>
      <c r="R64" s="769"/>
      <c r="S64" s="769"/>
      <c r="T64" s="769"/>
      <c r="U64" s="769"/>
      <c r="V64" s="769"/>
      <c r="W64" s="769"/>
      <c r="X64" s="769"/>
      <c r="Y64" s="837"/>
      <c r="Z64" s="837"/>
      <c r="AA64" s="837"/>
      <c r="AB64" s="837"/>
      <c r="AC64" s="837"/>
      <c r="AD64" s="837"/>
      <c r="AG64" s="837"/>
      <c r="AH64" s="837"/>
      <c r="AI64" s="837"/>
      <c r="AJ64" s="837"/>
      <c r="AK64" s="837"/>
      <c r="AL64" s="837"/>
      <c r="AM64" s="837"/>
      <c r="AN64" s="837"/>
      <c r="AO64" s="837"/>
      <c r="AP64" s="837"/>
      <c r="AQ64" s="837"/>
      <c r="AR64" s="837"/>
      <c r="AS64" s="837"/>
      <c r="AT64" s="837"/>
      <c r="AU64" s="837"/>
      <c r="AV64" s="837"/>
      <c r="AY64" s="837"/>
      <c r="AZ64" s="837"/>
      <c r="BA64" s="837"/>
      <c r="BB64" s="837"/>
      <c r="BC64" s="837"/>
      <c r="BD64" s="837"/>
      <c r="BE64" s="769"/>
    </row>
    <row r="65" spans="1:57">
      <c r="A65" s="769"/>
      <c r="B65" s="769"/>
      <c r="C65" s="769"/>
      <c r="D65" s="769"/>
      <c r="E65" s="769"/>
      <c r="F65" s="769"/>
      <c r="G65" s="769"/>
      <c r="H65" s="769"/>
      <c r="I65" s="769"/>
      <c r="J65" s="769"/>
      <c r="K65" s="769"/>
      <c r="L65" s="769"/>
      <c r="M65" s="769"/>
      <c r="N65" s="769"/>
      <c r="O65" s="769"/>
      <c r="R65" s="769"/>
      <c r="S65" s="769"/>
      <c r="T65" s="769"/>
      <c r="U65" s="769"/>
      <c r="V65" s="769"/>
      <c r="W65" s="769"/>
      <c r="X65" s="769"/>
      <c r="Y65" s="837"/>
      <c r="Z65" s="837"/>
      <c r="AA65" s="837"/>
      <c r="AB65" s="837"/>
      <c r="AC65" s="837"/>
      <c r="AD65" s="837"/>
      <c r="AG65" s="837"/>
      <c r="AH65" s="837"/>
      <c r="AI65" s="837"/>
      <c r="AJ65" s="837"/>
      <c r="AK65" s="837"/>
      <c r="AL65" s="837"/>
      <c r="AM65" s="837"/>
      <c r="AN65" s="837"/>
      <c r="AO65" s="837"/>
      <c r="AP65" s="837"/>
      <c r="AQ65" s="837"/>
      <c r="AR65" s="837"/>
      <c r="AS65" s="837"/>
      <c r="AT65" s="837"/>
      <c r="AU65" s="837"/>
      <c r="AV65" s="837"/>
      <c r="AY65" s="837"/>
      <c r="AZ65" s="837"/>
      <c r="BA65" s="837"/>
      <c r="BB65" s="837"/>
      <c r="BC65" s="837"/>
      <c r="BD65" s="837"/>
      <c r="BE65" s="769"/>
    </row>
    <row r="66" spans="1:57">
      <c r="A66" s="769"/>
      <c r="B66" s="769"/>
      <c r="C66" s="769"/>
      <c r="D66" s="769"/>
      <c r="E66" s="769"/>
      <c r="F66" s="769"/>
      <c r="G66" s="769"/>
      <c r="H66" s="769"/>
      <c r="I66" s="769"/>
      <c r="J66" s="769"/>
      <c r="K66" s="769"/>
      <c r="L66" s="769"/>
      <c r="M66" s="769"/>
      <c r="N66" s="769"/>
      <c r="O66" s="769"/>
      <c r="R66" s="769"/>
      <c r="S66" s="769"/>
      <c r="T66" s="769"/>
      <c r="U66" s="769"/>
      <c r="V66" s="769"/>
      <c r="W66" s="769"/>
      <c r="X66" s="769"/>
      <c r="Y66" s="837"/>
      <c r="Z66" s="837"/>
      <c r="AA66" s="837"/>
      <c r="AB66" s="837"/>
      <c r="AC66" s="837"/>
      <c r="AD66" s="837"/>
      <c r="AG66" s="837"/>
      <c r="AH66" s="837"/>
      <c r="AI66" s="837"/>
      <c r="AJ66" s="837"/>
      <c r="AK66" s="837"/>
      <c r="AL66" s="837"/>
      <c r="AM66" s="837"/>
      <c r="AN66" s="837"/>
      <c r="AO66" s="837"/>
      <c r="AP66" s="837"/>
      <c r="AQ66" s="837"/>
      <c r="AR66" s="837"/>
      <c r="AS66" s="837"/>
      <c r="AT66" s="837"/>
      <c r="AU66" s="837"/>
      <c r="AV66" s="837"/>
      <c r="AY66" s="837"/>
      <c r="AZ66" s="837"/>
      <c r="BA66" s="837"/>
      <c r="BB66" s="837"/>
      <c r="BC66" s="837"/>
      <c r="BD66" s="837"/>
      <c r="BE66" s="769"/>
    </row>
    <row r="67" spans="1:57">
      <c r="A67" s="769"/>
      <c r="B67" s="769"/>
      <c r="C67" s="769"/>
      <c r="D67" s="769"/>
      <c r="E67" s="769"/>
      <c r="F67" s="769"/>
      <c r="G67" s="769"/>
      <c r="H67" s="769"/>
      <c r="I67" s="769"/>
      <c r="J67" s="769"/>
      <c r="K67" s="769"/>
      <c r="L67" s="769"/>
      <c r="M67" s="769"/>
      <c r="N67" s="769"/>
      <c r="O67" s="769"/>
      <c r="R67" s="769"/>
      <c r="S67" s="769"/>
      <c r="T67" s="769"/>
      <c r="U67" s="769"/>
      <c r="V67" s="769"/>
      <c r="W67" s="769"/>
      <c r="X67" s="769"/>
      <c r="Y67" s="837"/>
      <c r="Z67" s="837"/>
      <c r="AA67" s="837"/>
      <c r="AB67" s="837"/>
      <c r="AC67" s="837"/>
      <c r="AD67" s="837"/>
      <c r="AG67" s="837"/>
      <c r="AH67" s="837"/>
      <c r="AI67" s="837"/>
      <c r="AJ67" s="837"/>
      <c r="AK67" s="837"/>
      <c r="AL67" s="837"/>
      <c r="AM67" s="837"/>
      <c r="AN67" s="837"/>
      <c r="AO67" s="837"/>
      <c r="AP67" s="837"/>
      <c r="AQ67" s="837"/>
      <c r="AR67" s="837"/>
      <c r="AS67" s="837"/>
      <c r="AT67" s="837"/>
      <c r="AU67" s="837"/>
      <c r="AV67" s="837"/>
      <c r="AY67" s="837"/>
      <c r="AZ67" s="837"/>
      <c r="BA67" s="837"/>
      <c r="BB67" s="837"/>
      <c r="BC67" s="837"/>
      <c r="BD67" s="837"/>
      <c r="BE67" s="769"/>
    </row>
    <row r="68" spans="1:57">
      <c r="A68" s="769"/>
      <c r="B68" s="769"/>
      <c r="C68" s="769"/>
      <c r="D68" s="769"/>
      <c r="E68" s="769"/>
      <c r="F68" s="769"/>
      <c r="G68" s="769"/>
      <c r="H68" s="769"/>
      <c r="I68" s="769"/>
      <c r="J68" s="769"/>
      <c r="K68" s="769"/>
      <c r="L68" s="769"/>
      <c r="M68" s="769"/>
      <c r="N68" s="769"/>
      <c r="O68" s="769"/>
      <c r="R68" s="769"/>
      <c r="S68" s="769"/>
      <c r="T68" s="769"/>
      <c r="U68" s="769"/>
      <c r="V68" s="769"/>
      <c r="W68" s="769"/>
      <c r="X68" s="769"/>
      <c r="Y68" s="837"/>
      <c r="Z68" s="837"/>
      <c r="AA68" s="837"/>
      <c r="AB68" s="837"/>
      <c r="AC68" s="837"/>
      <c r="AD68" s="837"/>
      <c r="AG68" s="837"/>
      <c r="AH68" s="837"/>
      <c r="AI68" s="837"/>
      <c r="AJ68" s="837"/>
      <c r="AK68" s="837"/>
      <c r="AL68" s="837"/>
      <c r="AM68" s="837"/>
      <c r="AN68" s="837"/>
      <c r="AO68" s="837"/>
      <c r="AP68" s="837"/>
      <c r="AQ68" s="837"/>
      <c r="AR68" s="837"/>
      <c r="AS68" s="837"/>
      <c r="AT68" s="837"/>
      <c r="AU68" s="837"/>
      <c r="AV68" s="837"/>
      <c r="AY68" s="837"/>
      <c r="AZ68" s="837"/>
      <c r="BA68" s="837"/>
      <c r="BB68" s="837"/>
      <c r="BC68" s="837"/>
      <c r="BD68" s="837"/>
      <c r="BE68" s="769"/>
    </row>
    <row r="69" spans="1:57">
      <c r="A69" s="769"/>
      <c r="B69" s="769"/>
      <c r="C69" s="769"/>
      <c r="D69" s="769"/>
      <c r="E69" s="769"/>
      <c r="F69" s="769"/>
      <c r="G69" s="769"/>
      <c r="H69" s="769"/>
      <c r="I69" s="769"/>
      <c r="J69" s="769"/>
      <c r="K69" s="769"/>
      <c r="L69" s="769"/>
      <c r="M69" s="769"/>
      <c r="N69" s="769"/>
      <c r="O69" s="769"/>
      <c r="R69" s="769"/>
      <c r="S69" s="769"/>
      <c r="T69" s="769"/>
      <c r="U69" s="769"/>
      <c r="V69" s="769"/>
      <c r="W69" s="769"/>
      <c r="X69" s="769"/>
      <c r="Y69" s="837"/>
      <c r="Z69" s="837"/>
      <c r="AA69" s="837"/>
      <c r="AB69" s="837"/>
      <c r="AC69" s="837"/>
      <c r="AD69" s="837"/>
      <c r="AG69" s="837"/>
      <c r="AH69" s="837"/>
      <c r="AI69" s="837"/>
      <c r="AJ69" s="837"/>
      <c r="AK69" s="837"/>
      <c r="AL69" s="837"/>
      <c r="AM69" s="837"/>
      <c r="AN69" s="837"/>
      <c r="AO69" s="837"/>
      <c r="AP69" s="837"/>
      <c r="AQ69" s="837"/>
      <c r="AR69" s="837"/>
      <c r="AS69" s="837"/>
      <c r="AT69" s="837"/>
      <c r="AU69" s="837"/>
      <c r="AV69" s="837"/>
      <c r="AY69" s="837"/>
      <c r="AZ69" s="837"/>
      <c r="BA69" s="837"/>
      <c r="BB69" s="837"/>
      <c r="BC69" s="837"/>
      <c r="BD69" s="837"/>
      <c r="BE69" s="769"/>
    </row>
    <row r="70" spans="1:57">
      <c r="A70" s="769"/>
      <c r="B70" s="769"/>
      <c r="C70" s="769"/>
      <c r="D70" s="769"/>
      <c r="E70" s="769"/>
      <c r="F70" s="769"/>
      <c r="G70" s="769"/>
      <c r="H70" s="769"/>
      <c r="I70" s="769"/>
      <c r="J70" s="769"/>
      <c r="K70" s="769"/>
      <c r="L70" s="769"/>
      <c r="M70" s="769"/>
      <c r="N70" s="769"/>
      <c r="O70" s="769"/>
      <c r="R70" s="769"/>
      <c r="S70" s="769"/>
      <c r="T70" s="769"/>
      <c r="U70" s="769"/>
      <c r="V70" s="769"/>
      <c r="W70" s="769"/>
      <c r="X70" s="769"/>
      <c r="Y70" s="837"/>
      <c r="Z70" s="837"/>
      <c r="AA70" s="837"/>
      <c r="AB70" s="837"/>
      <c r="AC70" s="837"/>
      <c r="AD70" s="837"/>
      <c r="AG70" s="837"/>
      <c r="AH70" s="837"/>
      <c r="AI70" s="837"/>
      <c r="AJ70" s="837"/>
      <c r="AK70" s="837"/>
      <c r="AL70" s="837"/>
      <c r="AM70" s="837"/>
      <c r="AN70" s="837"/>
      <c r="AO70" s="837"/>
      <c r="AP70" s="837"/>
      <c r="AQ70" s="837"/>
      <c r="AR70" s="837"/>
      <c r="AS70" s="837"/>
      <c r="AT70" s="837"/>
      <c r="AU70" s="837"/>
      <c r="AV70" s="837"/>
      <c r="AY70" s="837"/>
      <c r="AZ70" s="837"/>
      <c r="BA70" s="837"/>
      <c r="BB70" s="837"/>
      <c r="BC70" s="837"/>
      <c r="BD70" s="837"/>
      <c r="BE70" s="769"/>
    </row>
    <row r="71" spans="1:57">
      <c r="A71" s="769"/>
      <c r="B71" s="769"/>
      <c r="C71" s="769"/>
      <c r="D71" s="769"/>
      <c r="E71" s="769"/>
      <c r="F71" s="769"/>
      <c r="G71" s="769"/>
      <c r="H71" s="769"/>
      <c r="I71" s="769"/>
      <c r="J71" s="769"/>
      <c r="K71" s="769"/>
      <c r="L71" s="769"/>
      <c r="M71" s="769"/>
      <c r="N71" s="769"/>
      <c r="O71" s="769"/>
      <c r="R71" s="769"/>
      <c r="S71" s="769"/>
      <c r="T71" s="769"/>
      <c r="U71" s="769"/>
      <c r="V71" s="769"/>
      <c r="W71" s="769"/>
      <c r="X71" s="769"/>
      <c r="Y71" s="837"/>
      <c r="Z71" s="837"/>
      <c r="AA71" s="837"/>
      <c r="AB71" s="837"/>
      <c r="AC71" s="837"/>
      <c r="AD71" s="837"/>
      <c r="AG71" s="837"/>
      <c r="AH71" s="837"/>
      <c r="AI71" s="837"/>
      <c r="AJ71" s="837"/>
      <c r="AK71" s="837"/>
      <c r="AL71" s="837"/>
      <c r="AM71" s="837"/>
      <c r="AN71" s="837"/>
      <c r="AO71" s="837"/>
      <c r="AP71" s="837"/>
      <c r="AQ71" s="837"/>
      <c r="AR71" s="837"/>
      <c r="AS71" s="837"/>
      <c r="AT71" s="837"/>
      <c r="AU71" s="837"/>
      <c r="AV71" s="837"/>
      <c r="AY71" s="837"/>
      <c r="AZ71" s="837"/>
      <c r="BA71" s="837"/>
      <c r="BB71" s="837"/>
      <c r="BC71" s="837"/>
      <c r="BD71" s="837"/>
      <c r="BE71" s="769"/>
    </row>
    <row r="72" spans="1:57">
      <c r="A72" s="769"/>
      <c r="B72" s="769"/>
      <c r="C72" s="769"/>
      <c r="D72" s="769"/>
      <c r="E72" s="769"/>
      <c r="F72" s="769"/>
      <c r="G72" s="769"/>
      <c r="H72" s="769"/>
      <c r="I72" s="769"/>
      <c r="J72" s="769"/>
      <c r="K72" s="769"/>
      <c r="L72" s="769"/>
      <c r="M72" s="769"/>
      <c r="N72" s="769"/>
      <c r="O72" s="769"/>
      <c r="R72" s="769"/>
      <c r="S72" s="769"/>
      <c r="T72" s="769"/>
      <c r="U72" s="769"/>
      <c r="V72" s="769"/>
      <c r="W72" s="769"/>
      <c r="X72" s="769"/>
      <c r="Y72" s="837"/>
      <c r="Z72" s="837"/>
      <c r="AA72" s="837"/>
      <c r="AB72" s="837"/>
      <c r="AC72" s="837"/>
      <c r="AD72" s="837"/>
      <c r="AG72" s="837"/>
      <c r="AH72" s="837"/>
      <c r="AI72" s="837"/>
      <c r="AJ72" s="837"/>
      <c r="AK72" s="837"/>
      <c r="AL72" s="837"/>
      <c r="AM72" s="837"/>
      <c r="AN72" s="837"/>
      <c r="AO72" s="837"/>
      <c r="AP72" s="837"/>
      <c r="AQ72" s="837"/>
      <c r="AR72" s="837"/>
      <c r="AS72" s="837"/>
      <c r="AT72" s="837"/>
      <c r="AU72" s="837"/>
      <c r="AV72" s="837"/>
      <c r="AY72" s="837"/>
      <c r="AZ72" s="837"/>
      <c r="BA72" s="837"/>
      <c r="BB72" s="837"/>
      <c r="BC72" s="837"/>
      <c r="BD72" s="837"/>
      <c r="BE72" s="769"/>
    </row>
    <row r="73" spans="1:57">
      <c r="A73" s="769"/>
      <c r="B73" s="769"/>
      <c r="C73" s="769"/>
      <c r="D73" s="769"/>
      <c r="E73" s="769"/>
      <c r="F73" s="769"/>
      <c r="G73" s="769"/>
      <c r="H73" s="769"/>
      <c r="I73" s="769"/>
      <c r="J73" s="769"/>
      <c r="K73" s="769"/>
      <c r="L73" s="769"/>
      <c r="M73" s="769"/>
      <c r="N73" s="769"/>
      <c r="O73" s="769"/>
      <c r="R73" s="769"/>
      <c r="S73" s="769"/>
      <c r="T73" s="769"/>
      <c r="U73" s="769"/>
      <c r="V73" s="769"/>
      <c r="W73" s="769"/>
      <c r="X73" s="769"/>
      <c r="Y73" s="837"/>
      <c r="Z73" s="837"/>
      <c r="AA73" s="837"/>
      <c r="AB73" s="837"/>
      <c r="AC73" s="837"/>
      <c r="AD73" s="837"/>
      <c r="AG73" s="837"/>
      <c r="AH73" s="837"/>
      <c r="AI73" s="837"/>
      <c r="AJ73" s="837"/>
      <c r="AK73" s="837"/>
      <c r="AL73" s="837"/>
      <c r="AM73" s="837"/>
      <c r="AN73" s="837"/>
      <c r="AO73" s="837"/>
      <c r="AP73" s="837"/>
      <c r="AQ73" s="837"/>
      <c r="AR73" s="837"/>
      <c r="AS73" s="837"/>
      <c r="AT73" s="837"/>
      <c r="AU73" s="837"/>
      <c r="AV73" s="837"/>
      <c r="AY73" s="837"/>
      <c r="AZ73" s="837"/>
      <c r="BA73" s="837"/>
      <c r="BB73" s="837"/>
      <c r="BC73" s="837"/>
      <c r="BD73" s="837"/>
      <c r="BE73" s="769"/>
    </row>
    <row r="74" spans="1:57">
      <c r="A74" s="769"/>
      <c r="B74" s="769"/>
      <c r="C74" s="769"/>
      <c r="D74" s="769"/>
      <c r="E74" s="769"/>
      <c r="F74" s="769"/>
      <c r="G74" s="769"/>
      <c r="H74" s="769"/>
      <c r="I74" s="769"/>
      <c r="J74" s="769"/>
      <c r="K74" s="769"/>
      <c r="L74" s="769"/>
      <c r="M74" s="769"/>
      <c r="N74" s="769"/>
      <c r="O74" s="769"/>
      <c r="R74" s="769"/>
      <c r="S74" s="769"/>
      <c r="T74" s="769"/>
      <c r="U74" s="769"/>
      <c r="V74" s="769"/>
      <c r="W74" s="769"/>
      <c r="X74" s="769"/>
      <c r="Y74" s="837"/>
      <c r="Z74" s="837"/>
      <c r="AA74" s="837"/>
      <c r="AB74" s="837"/>
      <c r="AC74" s="837"/>
      <c r="AD74" s="837"/>
      <c r="AG74" s="837"/>
      <c r="AH74" s="837"/>
      <c r="AI74" s="837"/>
      <c r="AJ74" s="837"/>
      <c r="AK74" s="837"/>
      <c r="AL74" s="837"/>
      <c r="AM74" s="837"/>
      <c r="AN74" s="837"/>
      <c r="AO74" s="837"/>
      <c r="AP74" s="837"/>
      <c r="AQ74" s="837"/>
      <c r="AR74" s="837"/>
      <c r="AS74" s="837"/>
      <c r="AT74" s="837"/>
      <c r="AU74" s="837"/>
      <c r="AV74" s="837"/>
      <c r="AY74" s="837"/>
      <c r="AZ74" s="837"/>
      <c r="BA74" s="837"/>
      <c r="BB74" s="837"/>
      <c r="BC74" s="837"/>
      <c r="BD74" s="837"/>
      <c r="BE74" s="769"/>
    </row>
    <row r="75" spans="1:57">
      <c r="A75" s="769"/>
      <c r="B75" s="769"/>
      <c r="C75" s="769"/>
      <c r="D75" s="769"/>
      <c r="E75" s="769"/>
      <c r="F75" s="769"/>
      <c r="G75" s="769"/>
      <c r="H75" s="769"/>
      <c r="I75" s="769"/>
      <c r="J75" s="769"/>
      <c r="K75" s="769"/>
      <c r="L75" s="769"/>
      <c r="M75" s="769"/>
      <c r="N75" s="769"/>
      <c r="O75" s="769"/>
      <c r="R75" s="769"/>
      <c r="S75" s="769"/>
      <c r="T75" s="769"/>
      <c r="U75" s="769"/>
      <c r="V75" s="769"/>
      <c r="W75" s="769"/>
      <c r="X75" s="769"/>
      <c r="Y75" s="837"/>
      <c r="Z75" s="837"/>
      <c r="AA75" s="837"/>
      <c r="AB75" s="837"/>
      <c r="AC75" s="837"/>
      <c r="AD75" s="837"/>
      <c r="AG75" s="837"/>
      <c r="AH75" s="837"/>
      <c r="AI75" s="837"/>
      <c r="AJ75" s="837"/>
      <c r="AK75" s="837"/>
      <c r="AL75" s="837"/>
      <c r="AM75" s="837"/>
      <c r="AN75" s="837"/>
      <c r="AO75" s="837"/>
      <c r="AP75" s="837"/>
      <c r="AQ75" s="837"/>
      <c r="AR75" s="837"/>
      <c r="AS75" s="837"/>
      <c r="AT75" s="837"/>
      <c r="AU75" s="837"/>
      <c r="AV75" s="837"/>
      <c r="AY75" s="837"/>
      <c r="AZ75" s="837"/>
      <c r="BA75" s="837"/>
      <c r="BB75" s="837"/>
      <c r="BC75" s="837"/>
      <c r="BD75" s="837"/>
      <c r="BE75" s="769"/>
    </row>
    <row r="76" spans="1:57">
      <c r="A76" s="769"/>
      <c r="B76" s="769"/>
      <c r="C76" s="769"/>
      <c r="D76" s="769"/>
      <c r="E76" s="769"/>
      <c r="F76" s="769"/>
      <c r="G76" s="769"/>
      <c r="H76" s="769"/>
      <c r="I76" s="769"/>
      <c r="J76" s="769"/>
      <c r="K76" s="769"/>
      <c r="L76" s="769"/>
      <c r="M76" s="769"/>
      <c r="N76" s="769"/>
      <c r="O76" s="769"/>
      <c r="R76" s="769"/>
      <c r="S76" s="769"/>
      <c r="T76" s="769"/>
      <c r="U76" s="769"/>
      <c r="V76" s="769"/>
      <c r="W76" s="769"/>
      <c r="X76" s="769"/>
      <c r="Y76" s="837"/>
      <c r="Z76" s="837"/>
      <c r="AA76" s="837"/>
      <c r="AB76" s="837"/>
      <c r="AC76" s="837"/>
      <c r="AD76" s="837"/>
      <c r="AG76" s="837"/>
      <c r="AH76" s="837"/>
      <c r="AI76" s="837"/>
      <c r="AJ76" s="837"/>
      <c r="AK76" s="837"/>
      <c r="AL76" s="837"/>
      <c r="AM76" s="837"/>
      <c r="AN76" s="837"/>
      <c r="AO76" s="837"/>
      <c r="AP76" s="837"/>
      <c r="AQ76" s="837"/>
      <c r="AR76" s="837"/>
      <c r="AS76" s="837"/>
      <c r="AT76" s="837"/>
      <c r="AU76" s="837"/>
      <c r="AV76" s="837"/>
      <c r="AY76" s="837"/>
      <c r="AZ76" s="837"/>
      <c r="BA76" s="837"/>
      <c r="BB76" s="837"/>
      <c r="BC76" s="837"/>
      <c r="BD76" s="837"/>
      <c r="BE76" s="769"/>
    </row>
    <row r="77" spans="1:57">
      <c r="A77" s="769"/>
      <c r="B77" s="769"/>
      <c r="C77" s="769"/>
      <c r="D77" s="769"/>
      <c r="E77" s="769"/>
      <c r="F77" s="769"/>
      <c r="G77" s="769"/>
      <c r="H77" s="769"/>
      <c r="I77" s="769"/>
      <c r="J77" s="769"/>
      <c r="K77" s="769"/>
      <c r="L77" s="769"/>
      <c r="M77" s="769"/>
      <c r="N77" s="769"/>
      <c r="O77" s="769"/>
      <c r="R77" s="769"/>
      <c r="S77" s="769"/>
      <c r="T77" s="769"/>
      <c r="U77" s="769"/>
      <c r="V77" s="769"/>
      <c r="W77" s="769"/>
      <c r="X77" s="769"/>
      <c r="Y77" s="837"/>
      <c r="Z77" s="837"/>
      <c r="AA77" s="837"/>
      <c r="AB77" s="837"/>
      <c r="AC77" s="837"/>
      <c r="AD77" s="837"/>
      <c r="AG77" s="837"/>
      <c r="AH77" s="837"/>
      <c r="AI77" s="837"/>
      <c r="AJ77" s="837"/>
      <c r="AK77" s="837"/>
      <c r="AL77" s="837"/>
      <c r="AM77" s="837"/>
      <c r="AN77" s="837"/>
      <c r="AO77" s="837"/>
      <c r="AP77" s="837"/>
      <c r="AQ77" s="837"/>
      <c r="AR77" s="837"/>
      <c r="AS77" s="837"/>
      <c r="AT77" s="837"/>
      <c r="AU77" s="837"/>
      <c r="AV77" s="837"/>
      <c r="AY77" s="837"/>
      <c r="AZ77" s="837"/>
      <c r="BA77" s="837"/>
      <c r="BB77" s="837"/>
      <c r="BC77" s="837"/>
      <c r="BD77" s="837"/>
      <c r="BE77" s="769"/>
    </row>
    <row r="78" spans="1:57">
      <c r="A78" s="769"/>
      <c r="B78" s="769"/>
      <c r="C78" s="769"/>
      <c r="D78" s="769"/>
      <c r="E78" s="769"/>
      <c r="F78" s="769"/>
      <c r="G78" s="769"/>
      <c r="H78" s="769"/>
      <c r="I78" s="769"/>
      <c r="J78" s="769"/>
      <c r="K78" s="769"/>
      <c r="L78" s="769"/>
      <c r="M78" s="769"/>
      <c r="N78" s="769"/>
      <c r="O78" s="769"/>
      <c r="R78" s="769"/>
      <c r="S78" s="769"/>
      <c r="T78" s="769"/>
      <c r="U78" s="769"/>
      <c r="V78" s="769"/>
      <c r="W78" s="769"/>
      <c r="X78" s="769"/>
      <c r="Y78" s="837"/>
      <c r="Z78" s="837"/>
      <c r="AA78" s="837"/>
      <c r="AB78" s="837"/>
      <c r="AC78" s="837"/>
      <c r="AD78" s="837"/>
      <c r="AG78" s="837"/>
      <c r="AH78" s="837"/>
      <c r="AI78" s="837"/>
      <c r="AJ78" s="837"/>
      <c r="AK78" s="837"/>
      <c r="AL78" s="837"/>
      <c r="AM78" s="837"/>
      <c r="AN78" s="837"/>
      <c r="AO78" s="837"/>
      <c r="AP78" s="837"/>
      <c r="AQ78" s="837"/>
      <c r="AR78" s="837"/>
      <c r="AS78" s="837"/>
      <c r="AT78" s="837"/>
      <c r="AU78" s="837"/>
      <c r="AV78" s="837"/>
      <c r="AY78" s="837"/>
      <c r="AZ78" s="837"/>
      <c r="BA78" s="837"/>
      <c r="BB78" s="837"/>
      <c r="BC78" s="837"/>
      <c r="BD78" s="837"/>
      <c r="BE78" s="769"/>
    </row>
    <row r="79" spans="1:57">
      <c r="A79" s="769"/>
      <c r="B79" s="769"/>
      <c r="C79" s="769"/>
      <c r="D79" s="769"/>
      <c r="E79" s="769"/>
      <c r="F79" s="769"/>
      <c r="G79" s="769"/>
      <c r="H79" s="769"/>
      <c r="I79" s="769"/>
      <c r="J79" s="769"/>
      <c r="K79" s="769"/>
      <c r="L79" s="769"/>
      <c r="M79" s="769"/>
      <c r="N79" s="769"/>
      <c r="O79" s="769"/>
      <c r="R79" s="769"/>
      <c r="S79" s="769"/>
      <c r="T79" s="769"/>
      <c r="U79" s="769"/>
      <c r="V79" s="769"/>
      <c r="W79" s="769"/>
      <c r="X79" s="769"/>
      <c r="Y79" s="837"/>
      <c r="Z79" s="837"/>
      <c r="AA79" s="837"/>
      <c r="AB79" s="837"/>
      <c r="AC79" s="837"/>
      <c r="AD79" s="837"/>
      <c r="AG79" s="837"/>
      <c r="AH79" s="837"/>
      <c r="AI79" s="837"/>
      <c r="AJ79" s="837"/>
      <c r="AK79" s="837"/>
      <c r="AL79" s="837"/>
      <c r="AM79" s="837"/>
      <c r="AN79" s="837"/>
      <c r="AO79" s="837"/>
      <c r="AP79" s="837"/>
      <c r="AQ79" s="837"/>
      <c r="AR79" s="837"/>
      <c r="AS79" s="837"/>
      <c r="AT79" s="837"/>
      <c r="AU79" s="837"/>
      <c r="AV79" s="837"/>
      <c r="AY79" s="837"/>
      <c r="AZ79" s="837"/>
      <c r="BA79" s="837"/>
      <c r="BB79" s="837"/>
      <c r="BC79" s="837"/>
      <c r="BD79" s="837"/>
      <c r="BE79" s="769"/>
    </row>
    <row r="80" spans="1:57">
      <c r="A80" s="769"/>
      <c r="B80" s="769"/>
      <c r="C80" s="769"/>
      <c r="D80" s="769"/>
      <c r="E80" s="769"/>
      <c r="F80" s="769"/>
      <c r="G80" s="769"/>
      <c r="H80" s="769"/>
      <c r="I80" s="769"/>
      <c r="J80" s="769"/>
      <c r="K80" s="769"/>
      <c r="L80" s="769"/>
      <c r="M80" s="769"/>
      <c r="N80" s="769"/>
      <c r="O80" s="769"/>
      <c r="R80" s="769"/>
      <c r="S80" s="769"/>
      <c r="T80" s="769"/>
      <c r="U80" s="769"/>
      <c r="V80" s="769"/>
      <c r="W80" s="769"/>
      <c r="X80" s="769"/>
      <c r="Y80" s="837"/>
      <c r="Z80" s="837"/>
      <c r="AA80" s="837"/>
      <c r="AB80" s="837"/>
      <c r="AC80" s="837"/>
      <c r="AD80" s="837"/>
      <c r="AG80" s="837"/>
      <c r="AH80" s="837"/>
      <c r="AI80" s="837"/>
      <c r="AJ80" s="837"/>
      <c r="AK80" s="837"/>
      <c r="AL80" s="837"/>
      <c r="AM80" s="837"/>
      <c r="AN80" s="837"/>
      <c r="AO80" s="837"/>
      <c r="AP80" s="837"/>
      <c r="AQ80" s="837"/>
      <c r="AR80" s="837"/>
      <c r="AS80" s="837"/>
      <c r="AT80" s="837"/>
      <c r="AU80" s="837"/>
      <c r="AV80" s="837"/>
      <c r="AY80" s="837"/>
      <c r="AZ80" s="837"/>
      <c r="BA80" s="837"/>
      <c r="BB80" s="837"/>
      <c r="BC80" s="837"/>
      <c r="BD80" s="837"/>
      <c r="BE80" s="769"/>
    </row>
    <row r="81" spans="1:57">
      <c r="A81" s="769"/>
      <c r="B81" s="769"/>
      <c r="C81" s="769"/>
      <c r="D81" s="769"/>
      <c r="E81" s="769"/>
      <c r="F81" s="769"/>
      <c r="G81" s="769"/>
      <c r="H81" s="769"/>
      <c r="I81" s="769"/>
      <c r="J81" s="769"/>
      <c r="K81" s="769"/>
      <c r="L81" s="769"/>
      <c r="M81" s="769"/>
      <c r="N81" s="769"/>
      <c r="O81" s="769"/>
      <c r="R81" s="769"/>
      <c r="S81" s="769"/>
      <c r="T81" s="769"/>
      <c r="U81" s="769"/>
      <c r="V81" s="769"/>
      <c r="W81" s="769"/>
      <c r="X81" s="769"/>
      <c r="Y81" s="837"/>
      <c r="Z81" s="837"/>
      <c r="AA81" s="837"/>
      <c r="AB81" s="837"/>
      <c r="AC81" s="837"/>
      <c r="AD81" s="837"/>
      <c r="AG81" s="837"/>
      <c r="AH81" s="837"/>
      <c r="AI81" s="837"/>
      <c r="AJ81" s="837"/>
      <c r="AK81" s="837"/>
      <c r="AL81" s="837"/>
      <c r="AM81" s="837"/>
      <c r="AN81" s="837"/>
      <c r="AO81" s="837"/>
      <c r="AP81" s="837"/>
      <c r="AQ81" s="837"/>
      <c r="AR81" s="837"/>
      <c r="AS81" s="837"/>
      <c r="AT81" s="837"/>
      <c r="AU81" s="837"/>
      <c r="AV81" s="837"/>
      <c r="AY81" s="837"/>
      <c r="AZ81" s="837"/>
      <c r="BA81" s="837"/>
      <c r="BB81" s="837"/>
      <c r="BC81" s="837"/>
      <c r="BD81" s="837"/>
      <c r="BE81" s="769"/>
    </row>
    <row r="82" spans="1:57">
      <c r="A82" s="769"/>
      <c r="B82" s="769"/>
      <c r="C82" s="769"/>
      <c r="D82" s="769"/>
      <c r="E82" s="769"/>
      <c r="F82" s="769"/>
      <c r="G82" s="769"/>
      <c r="H82" s="769"/>
      <c r="I82" s="769"/>
      <c r="J82" s="769"/>
      <c r="K82" s="769"/>
      <c r="L82" s="769"/>
      <c r="M82" s="769"/>
      <c r="N82" s="769"/>
      <c r="O82" s="769"/>
      <c r="R82" s="769"/>
      <c r="S82" s="769"/>
      <c r="T82" s="769"/>
      <c r="U82" s="769"/>
      <c r="V82" s="769"/>
      <c r="W82" s="769"/>
      <c r="X82" s="769"/>
      <c r="Y82" s="837"/>
      <c r="Z82" s="837"/>
      <c r="AA82" s="837"/>
      <c r="AB82" s="837"/>
      <c r="AC82" s="837"/>
      <c r="AD82" s="837"/>
      <c r="AG82" s="837"/>
      <c r="AH82" s="837"/>
      <c r="AI82" s="837"/>
      <c r="AJ82" s="837"/>
      <c r="AK82" s="837"/>
      <c r="AL82" s="837"/>
      <c r="AM82" s="837"/>
      <c r="AN82" s="837"/>
      <c r="AO82" s="837"/>
      <c r="AP82" s="837"/>
      <c r="AQ82" s="837"/>
      <c r="AR82" s="837"/>
      <c r="AS82" s="837"/>
      <c r="AT82" s="837"/>
      <c r="AU82" s="837"/>
      <c r="AV82" s="837"/>
      <c r="AY82" s="837"/>
      <c r="AZ82" s="837"/>
      <c r="BA82" s="837"/>
      <c r="BB82" s="837"/>
      <c r="BC82" s="837"/>
      <c r="BD82" s="837"/>
      <c r="BE82" s="769"/>
    </row>
    <row r="83" spans="1:57">
      <c r="A83" s="769"/>
      <c r="B83" s="769"/>
      <c r="C83" s="769"/>
      <c r="D83" s="769"/>
      <c r="E83" s="769"/>
      <c r="F83" s="769"/>
      <c r="G83" s="769"/>
      <c r="H83" s="769"/>
      <c r="I83" s="769"/>
      <c r="J83" s="769"/>
      <c r="K83" s="769"/>
      <c r="L83" s="769"/>
      <c r="M83" s="769"/>
      <c r="N83" s="769"/>
      <c r="O83" s="769"/>
      <c r="R83" s="769"/>
      <c r="S83" s="769"/>
      <c r="T83" s="769"/>
      <c r="U83" s="769"/>
      <c r="V83" s="769"/>
      <c r="W83" s="769"/>
      <c r="X83" s="769"/>
      <c r="Y83" s="837"/>
      <c r="Z83" s="837"/>
      <c r="AA83" s="837"/>
      <c r="AB83" s="837"/>
      <c r="AC83" s="837"/>
      <c r="AD83" s="837"/>
      <c r="AG83" s="837"/>
      <c r="AH83" s="837"/>
      <c r="AI83" s="837"/>
      <c r="AJ83" s="837"/>
      <c r="AK83" s="837"/>
      <c r="AL83" s="837"/>
      <c r="AM83" s="837"/>
      <c r="AN83" s="837"/>
      <c r="AO83" s="837"/>
      <c r="AP83" s="837"/>
      <c r="AQ83" s="837"/>
      <c r="AR83" s="837"/>
      <c r="AS83" s="837"/>
      <c r="AT83" s="837"/>
      <c r="AU83" s="837"/>
      <c r="AV83" s="837"/>
      <c r="AY83" s="837"/>
      <c r="AZ83" s="837"/>
      <c r="BA83" s="837"/>
      <c r="BB83" s="837"/>
      <c r="BC83" s="837"/>
      <c r="BD83" s="837"/>
      <c r="BE83" s="769"/>
    </row>
    <row r="84" spans="1:57">
      <c r="A84" s="769"/>
      <c r="B84" s="769"/>
      <c r="C84" s="769"/>
      <c r="D84" s="769"/>
      <c r="E84" s="769"/>
      <c r="F84" s="769"/>
      <c r="G84" s="769"/>
      <c r="H84" s="769"/>
      <c r="I84" s="769"/>
      <c r="J84" s="769"/>
      <c r="K84" s="769"/>
      <c r="L84" s="769"/>
      <c r="M84" s="769"/>
      <c r="N84" s="769"/>
      <c r="O84" s="769"/>
      <c r="R84" s="769"/>
      <c r="S84" s="769"/>
      <c r="T84" s="769"/>
      <c r="U84" s="769"/>
      <c r="V84" s="769"/>
      <c r="W84" s="769"/>
      <c r="X84" s="769"/>
      <c r="Y84" s="837"/>
      <c r="Z84" s="837"/>
      <c r="AA84" s="837"/>
      <c r="AB84" s="837"/>
      <c r="AC84" s="837"/>
      <c r="AD84" s="837"/>
      <c r="AG84" s="837"/>
      <c r="AH84" s="837"/>
      <c r="AI84" s="837"/>
      <c r="AJ84" s="837"/>
      <c r="AK84" s="837"/>
      <c r="AL84" s="837"/>
      <c r="AM84" s="837"/>
      <c r="AN84" s="837"/>
      <c r="AO84" s="837"/>
      <c r="AP84" s="837"/>
      <c r="AQ84" s="837"/>
      <c r="AR84" s="837"/>
      <c r="AS84" s="837"/>
      <c r="AT84" s="837"/>
      <c r="AU84" s="837"/>
      <c r="AV84" s="837"/>
      <c r="AY84" s="837"/>
      <c r="AZ84" s="837"/>
      <c r="BA84" s="837"/>
      <c r="BB84" s="837"/>
      <c r="BC84" s="837"/>
      <c r="BD84" s="837"/>
      <c r="BE84" s="769"/>
    </row>
    <row r="85" spans="1:57">
      <c r="A85" s="769"/>
      <c r="B85" s="769"/>
      <c r="C85" s="769"/>
      <c r="D85" s="769"/>
      <c r="E85" s="769"/>
      <c r="F85" s="769"/>
      <c r="G85" s="769"/>
      <c r="H85" s="769"/>
      <c r="I85" s="769"/>
      <c r="J85" s="769"/>
      <c r="K85" s="769"/>
      <c r="L85" s="769"/>
      <c r="M85" s="769"/>
      <c r="N85" s="769"/>
      <c r="O85" s="769"/>
      <c r="R85" s="769"/>
      <c r="S85" s="769"/>
      <c r="T85" s="769"/>
      <c r="U85" s="769"/>
      <c r="V85" s="769"/>
      <c r="W85" s="769"/>
      <c r="X85" s="769"/>
      <c r="Y85" s="837"/>
      <c r="Z85" s="837"/>
      <c r="AA85" s="837"/>
      <c r="AB85" s="837"/>
      <c r="AC85" s="837"/>
      <c r="AD85" s="837"/>
      <c r="AG85" s="837"/>
      <c r="AH85" s="837"/>
      <c r="AI85" s="837"/>
      <c r="AJ85" s="837"/>
      <c r="AK85" s="837"/>
      <c r="AL85" s="837"/>
      <c r="AM85" s="837"/>
      <c r="AN85" s="837"/>
      <c r="AO85" s="837"/>
      <c r="AP85" s="837"/>
      <c r="AQ85" s="837"/>
      <c r="AR85" s="837"/>
      <c r="AS85" s="837"/>
      <c r="AT85" s="837"/>
      <c r="AU85" s="837"/>
      <c r="AV85" s="837"/>
      <c r="AY85" s="837"/>
      <c r="AZ85" s="837"/>
      <c r="BA85" s="837"/>
      <c r="BB85" s="837"/>
      <c r="BC85" s="837"/>
      <c r="BD85" s="837"/>
      <c r="BE85" s="769"/>
    </row>
    <row r="86" spans="1:57">
      <c r="A86" s="769"/>
      <c r="B86" s="769"/>
      <c r="C86" s="769"/>
      <c r="D86" s="769"/>
      <c r="E86" s="769"/>
      <c r="F86" s="769"/>
      <c r="G86" s="769"/>
      <c r="H86" s="769"/>
      <c r="I86" s="769"/>
      <c r="J86" s="769"/>
      <c r="K86" s="769"/>
      <c r="L86" s="769"/>
      <c r="M86" s="769"/>
      <c r="N86" s="769"/>
      <c r="O86" s="769"/>
      <c r="R86" s="769"/>
      <c r="S86" s="769"/>
      <c r="T86" s="769"/>
      <c r="U86" s="769"/>
      <c r="V86" s="769"/>
      <c r="W86" s="769"/>
      <c r="X86" s="769"/>
      <c r="Y86" s="837"/>
      <c r="Z86" s="837"/>
      <c r="AA86" s="837"/>
      <c r="AB86" s="837"/>
      <c r="AC86" s="837"/>
      <c r="AD86" s="837"/>
      <c r="AG86" s="837"/>
      <c r="AH86" s="837"/>
      <c r="AI86" s="837"/>
      <c r="AJ86" s="837"/>
      <c r="AK86" s="837"/>
      <c r="AL86" s="837"/>
      <c r="AM86" s="837"/>
      <c r="AN86" s="837"/>
      <c r="AO86" s="837"/>
      <c r="AP86" s="837"/>
      <c r="AQ86" s="837"/>
      <c r="AR86" s="837"/>
      <c r="AS86" s="837"/>
      <c r="AT86" s="837"/>
      <c r="AU86" s="837"/>
      <c r="AV86" s="837"/>
      <c r="AY86" s="837"/>
      <c r="AZ86" s="837"/>
      <c r="BA86" s="837"/>
      <c r="BB86" s="837"/>
      <c r="BC86" s="837"/>
      <c r="BD86" s="837"/>
      <c r="BE86" s="769"/>
    </row>
    <row r="87" spans="1:57">
      <c r="A87" s="769"/>
      <c r="B87" s="769"/>
      <c r="C87" s="769"/>
      <c r="D87" s="769"/>
      <c r="E87" s="769"/>
      <c r="F87" s="769"/>
      <c r="G87" s="769"/>
      <c r="H87" s="769"/>
      <c r="I87" s="769"/>
      <c r="J87" s="769"/>
      <c r="K87" s="769"/>
      <c r="L87" s="769"/>
      <c r="M87" s="769"/>
      <c r="N87" s="769"/>
      <c r="O87" s="769"/>
      <c r="R87" s="769"/>
      <c r="S87" s="769"/>
      <c r="T87" s="769"/>
      <c r="U87" s="769"/>
      <c r="V87" s="769"/>
      <c r="W87" s="769"/>
      <c r="X87" s="769"/>
      <c r="Y87" s="837"/>
      <c r="Z87" s="837"/>
      <c r="AA87" s="837"/>
      <c r="AB87" s="837"/>
      <c r="AC87" s="837"/>
      <c r="AD87" s="837"/>
      <c r="AG87" s="837"/>
      <c r="AH87" s="837"/>
      <c r="AI87" s="837"/>
      <c r="AJ87" s="837"/>
      <c r="AK87" s="837"/>
      <c r="AL87" s="837"/>
      <c r="AM87" s="837"/>
      <c r="AN87" s="837"/>
      <c r="AO87" s="837"/>
      <c r="AP87" s="837"/>
      <c r="AQ87" s="837"/>
      <c r="AR87" s="837"/>
      <c r="AS87" s="837"/>
      <c r="AT87" s="837"/>
      <c r="AU87" s="837"/>
      <c r="AV87" s="837"/>
      <c r="AY87" s="837"/>
      <c r="AZ87" s="837"/>
      <c r="BA87" s="837"/>
      <c r="BB87" s="837"/>
      <c r="BC87" s="837"/>
      <c r="BD87" s="837"/>
      <c r="BE87" s="769"/>
    </row>
    <row r="88" spans="1:57">
      <c r="A88" s="769"/>
      <c r="B88" s="769"/>
      <c r="C88" s="769"/>
      <c r="D88" s="769"/>
      <c r="E88" s="769"/>
      <c r="F88" s="769"/>
      <c r="G88" s="769"/>
      <c r="H88" s="769"/>
      <c r="I88" s="769"/>
      <c r="J88" s="769"/>
      <c r="K88" s="769"/>
      <c r="L88" s="769"/>
      <c r="M88" s="769"/>
      <c r="N88" s="769"/>
      <c r="O88" s="769"/>
      <c r="R88" s="769"/>
      <c r="S88" s="769"/>
      <c r="T88" s="769"/>
      <c r="U88" s="769"/>
      <c r="V88" s="769"/>
      <c r="W88" s="769"/>
      <c r="X88" s="769"/>
      <c r="Y88" s="837"/>
      <c r="Z88" s="837"/>
      <c r="AA88" s="837"/>
      <c r="AB88" s="837"/>
      <c r="AC88" s="837"/>
      <c r="AD88" s="837"/>
      <c r="AG88" s="837"/>
      <c r="AH88" s="837"/>
      <c r="AI88" s="837"/>
      <c r="AJ88" s="837"/>
      <c r="AK88" s="837"/>
      <c r="AL88" s="837"/>
      <c r="AM88" s="837"/>
      <c r="AN88" s="837"/>
      <c r="AO88" s="837"/>
      <c r="AP88" s="837"/>
      <c r="AQ88" s="837"/>
      <c r="AR88" s="837"/>
      <c r="AS88" s="837"/>
      <c r="AT88" s="837"/>
      <c r="AU88" s="837"/>
      <c r="AV88" s="837"/>
      <c r="AY88" s="837"/>
      <c r="AZ88" s="837"/>
      <c r="BA88" s="837"/>
      <c r="BB88" s="837"/>
      <c r="BC88" s="837"/>
      <c r="BD88" s="837"/>
      <c r="BE88" s="769"/>
    </row>
    <row r="89" spans="1:57">
      <c r="A89" s="769"/>
      <c r="B89" s="769"/>
      <c r="C89" s="769"/>
      <c r="D89" s="769"/>
      <c r="E89" s="769"/>
      <c r="F89" s="769"/>
      <c r="G89" s="769"/>
      <c r="H89" s="769"/>
      <c r="I89" s="769"/>
      <c r="J89" s="769"/>
      <c r="K89" s="769"/>
      <c r="L89" s="769"/>
      <c r="M89" s="769"/>
      <c r="N89" s="769"/>
      <c r="O89" s="769"/>
      <c r="R89" s="769"/>
      <c r="S89" s="769"/>
      <c r="T89" s="769"/>
      <c r="U89" s="769"/>
      <c r="V89" s="769"/>
      <c r="W89" s="769"/>
      <c r="X89" s="769"/>
      <c r="Y89" s="837"/>
      <c r="Z89" s="837"/>
      <c r="AA89" s="837"/>
      <c r="AB89" s="837"/>
      <c r="AC89" s="837"/>
      <c r="AD89" s="837"/>
      <c r="AG89" s="837"/>
      <c r="AH89" s="837"/>
      <c r="AI89" s="837"/>
      <c r="AJ89" s="837"/>
      <c r="AK89" s="837"/>
      <c r="AL89" s="837"/>
      <c r="AM89" s="837"/>
      <c r="AN89" s="837"/>
      <c r="AO89" s="837"/>
      <c r="AP89" s="837"/>
      <c r="AQ89" s="837"/>
      <c r="AR89" s="837"/>
      <c r="AS89" s="837"/>
      <c r="AT89" s="837"/>
      <c r="AU89" s="837"/>
      <c r="AV89" s="837"/>
      <c r="AY89" s="837"/>
      <c r="AZ89" s="837"/>
      <c r="BA89" s="837"/>
      <c r="BB89" s="837"/>
      <c r="BC89" s="837"/>
      <c r="BD89" s="837"/>
      <c r="BE89" s="769"/>
    </row>
    <row r="90" spans="1:57">
      <c r="A90" s="769"/>
      <c r="B90" s="769"/>
      <c r="C90" s="769"/>
      <c r="D90" s="769"/>
      <c r="E90" s="769"/>
      <c r="F90" s="769"/>
      <c r="G90" s="769"/>
      <c r="H90" s="769"/>
      <c r="I90" s="769"/>
      <c r="J90" s="769"/>
      <c r="K90" s="769"/>
      <c r="L90" s="769"/>
      <c r="M90" s="769"/>
      <c r="N90" s="769"/>
      <c r="O90" s="769"/>
      <c r="R90" s="769"/>
      <c r="S90" s="769"/>
      <c r="T90" s="769"/>
      <c r="U90" s="769"/>
      <c r="V90" s="769"/>
      <c r="W90" s="769"/>
      <c r="X90" s="769"/>
      <c r="Y90" s="837"/>
      <c r="Z90" s="837"/>
      <c r="AA90" s="837"/>
      <c r="AB90" s="837"/>
      <c r="AC90" s="837"/>
      <c r="AD90" s="837"/>
      <c r="AG90" s="837"/>
      <c r="AH90" s="837"/>
      <c r="AI90" s="837"/>
      <c r="AJ90" s="837"/>
      <c r="AK90" s="837"/>
      <c r="AL90" s="837"/>
      <c r="AM90" s="837"/>
      <c r="AN90" s="837"/>
      <c r="AO90" s="837"/>
      <c r="AP90" s="837"/>
      <c r="AQ90" s="837"/>
      <c r="BE90" s="769"/>
    </row>
  </sheetData>
  <customSheetViews>
    <customSheetView guid="{9C153D9E-615C-443B-9CD7-551163282F03}" scale="180" showPageBreaks="1" printArea="1" view="pageBreakPreview" topLeftCell="A4">
      <selection activeCell="N5" sqref="N5:N15"/>
      <colBreaks count="2" manualBreakCount="2">
        <brk id="12" max="39" man="1"/>
        <brk id="28" max="39" man="1"/>
      </colBreaks>
      <pageMargins left="0" right="0" top="0" bottom="0" header="0" footer="0"/>
      <pageSetup firstPageNumber="20" orientation="landscape" r:id="rId1"/>
      <headerFooter>
        <oddFooter>&amp;C&amp;P</oddFooter>
      </headerFooter>
    </customSheetView>
    <customSheetView guid="{BE9F68F7-D81B-4526-9959-D871EC50BDFF}" scale="180" showPageBreaks="1" printArea="1" view="pageBreakPreview" topLeftCell="F4">
      <selection activeCell="N5" sqref="N5:N15"/>
      <colBreaks count="2" manualBreakCount="2">
        <brk id="12" max="39" man="1"/>
        <brk id="28" max="39" man="1"/>
      </colBreaks>
      <pageMargins left="0" right="0" top="0" bottom="0" header="0" footer="0"/>
      <pageSetup firstPageNumber="20" orientation="landscape" r:id="rId2"/>
      <headerFooter>
        <oddFooter>&amp;C&amp;P</oddFooter>
      </headerFooter>
    </customSheetView>
    <customSheetView guid="{EF790C5B-80DA-4544-9EB7-EFE0323B2298}" scale="160" showPageBreaks="1" printArea="1" view="pageBreakPreview" topLeftCell="J11">
      <selection activeCell="O19" sqref="O19"/>
      <colBreaks count="2" manualBreakCount="2">
        <brk id="12" max="39" man="1"/>
        <brk id="28" max="39" man="1"/>
      </colBreaks>
      <pageMargins left="0" right="0" top="0" bottom="0" header="0" footer="0"/>
      <pageSetup firstPageNumber="20" orientation="landscape" r:id="rId3"/>
      <headerFooter>
        <oddFooter>&amp;C&amp;P</oddFooter>
      </headerFooter>
    </customSheetView>
    <customSheetView guid="{C9D2DBB1-CD01-4732-8C86-64BE16C94753}" showPageBreaks="1" printArea="1" view="pageBreakPreview">
      <selection activeCell="A4" sqref="A4:A24"/>
      <colBreaks count="2" manualBreakCount="2">
        <brk id="12" max="39" man="1"/>
        <brk id="28" max="39" man="1"/>
      </colBreaks>
      <pageMargins left="0" right="0" top="0" bottom="0" header="0" footer="0"/>
      <pageSetup firstPageNumber="20" orientation="landscape" r:id="rId4"/>
      <headerFooter>
        <oddFooter>&amp;C&amp;P</oddFooter>
      </headerFooter>
    </customSheetView>
    <customSheetView guid="{BFEC163F-7C4E-49B7-9F32-15225772E72F}" showPageBreaks="1" printArea="1" view="pageBreakPreview" topLeftCell="S1">
      <selection activeCell="AC2" sqref="AC2"/>
      <colBreaks count="2" manualBreakCount="2">
        <brk id="12" max="39" man="1"/>
        <brk id="28" max="39" man="1"/>
      </colBreaks>
      <pageMargins left="0" right="0" top="0" bottom="0" header="0" footer="0"/>
      <pageSetup firstPageNumber="20" orientation="landscape" r:id="rId5"/>
      <headerFooter>
        <oddFooter>&amp;C&amp;P</oddFooter>
      </headerFooter>
    </customSheetView>
    <customSheetView guid="{5529DB6B-163A-4048-9107-267B30B97DF3}" showPageBreaks="1" printArea="1" view="pageBreakPreview" topLeftCell="S1">
      <selection activeCell="AC2" sqref="AC2"/>
      <colBreaks count="2" manualBreakCount="2">
        <brk id="12" max="39" man="1"/>
        <brk id="28" max="39" man="1"/>
      </colBreaks>
      <pageMargins left="0" right="0" top="0" bottom="0" header="0" footer="0"/>
      <pageSetup firstPageNumber="20" orientation="landscape" r:id="rId6"/>
      <headerFooter>
        <oddFooter>&amp;C&amp;P</oddFooter>
      </headerFooter>
    </customSheetView>
    <customSheetView guid="{9B0763AA-FA4B-479A-900C-C113E8BEEFEB}" scale="110" showPageBreaks="1" printArea="1" view="pageBreakPreview" topLeftCell="M1">
      <selection activeCell="Q19" sqref="Q19"/>
      <colBreaks count="2" manualBreakCount="2">
        <brk id="12" max="39" man="1"/>
        <brk id="28" max="39" man="1"/>
      </colBreaks>
      <pageMargins left="0" right="0" top="0" bottom="0" header="0" footer="0"/>
      <pageSetup firstPageNumber="20" orientation="landscape" r:id="rId7"/>
      <headerFooter>
        <oddFooter>&amp;C&amp;P</oddFooter>
      </headerFooter>
    </customSheetView>
    <customSheetView guid="{89903799-8228-4A6D-8A81-7F80BC61226D}" scale="180" showPageBreaks="1" printArea="1" view="pageBreakPreview" topLeftCell="F4">
      <selection activeCell="N5" sqref="N5:N15"/>
      <colBreaks count="2" manualBreakCount="2">
        <brk id="12" max="39" man="1"/>
        <brk id="28" max="39" man="1"/>
      </colBreaks>
      <pageMargins left="0" right="0" top="0" bottom="0" header="0" footer="0"/>
      <pageSetup firstPageNumber="20" orientation="landscape" r:id="rId8"/>
      <headerFooter>
        <oddFooter>&amp;C&amp;P</oddFooter>
      </headerFooter>
    </customSheetView>
    <customSheetView guid="{2524630E-605A-4616-AD5D-6CF7B1E9752C}" scale="160" showPageBreaks="1" printArea="1" view="pageBreakPreview" topLeftCell="J11">
      <selection activeCell="O19" sqref="O19"/>
      <colBreaks count="2" manualBreakCount="2">
        <brk id="12" max="39" man="1"/>
        <brk id="28" max="39" man="1"/>
      </colBreaks>
      <pageMargins left="0" right="0" top="0" bottom="0" header="0" footer="0"/>
      <pageSetup firstPageNumber="20" orientation="landscape" r:id="rId9"/>
      <headerFooter>
        <oddFooter>&amp;C&amp;P</oddFooter>
      </headerFooter>
    </customSheetView>
  </customSheetViews>
  <mergeCells count="83">
    <mergeCell ref="AU16:AU18"/>
    <mergeCell ref="AQ25:AQ26"/>
    <mergeCell ref="AJ25:AL26"/>
    <mergeCell ref="AO25:AP26"/>
    <mergeCell ref="AS5:AS13"/>
    <mergeCell ref="AR4:AR26"/>
    <mergeCell ref="AT5:AT13"/>
    <mergeCell ref="AU5:AU11"/>
    <mergeCell ref="AO4:AP4"/>
    <mergeCell ref="AM14:AN14"/>
    <mergeCell ref="AM15:AN16"/>
    <mergeCell ref="AM4:AN4"/>
    <mergeCell ref="AM5:AN13"/>
    <mergeCell ref="AO5:AQ7"/>
    <mergeCell ref="AW25:AW26"/>
    <mergeCell ref="BA25:BA26"/>
    <mergeCell ref="BE25:BE26"/>
    <mergeCell ref="AY14:AY16"/>
    <mergeCell ref="AY17:AY18"/>
    <mergeCell ref="AY19:AY20"/>
    <mergeCell ref="AV5:AW21"/>
    <mergeCell ref="AX5:AX13"/>
    <mergeCell ref="AY5:AY11"/>
    <mergeCell ref="AX15:AX16"/>
    <mergeCell ref="BC19:BC24"/>
    <mergeCell ref="BC13:BC17"/>
    <mergeCell ref="BC5:BC12"/>
    <mergeCell ref="BG5:BG11"/>
    <mergeCell ref="BH5:BH13"/>
    <mergeCell ref="BH16:BH17"/>
    <mergeCell ref="BH19:BH20"/>
    <mergeCell ref="AZ5:BA21"/>
    <mergeCell ref="BB5:BB13"/>
    <mergeCell ref="BD5:BE21"/>
    <mergeCell ref="BF5:BF16"/>
    <mergeCell ref="A4:A26"/>
    <mergeCell ref="M4:M26"/>
    <mergeCell ref="U4:V4"/>
    <mergeCell ref="D5:E9"/>
    <mergeCell ref="F5:F8"/>
    <mergeCell ref="G5:G13"/>
    <mergeCell ref="H5:H13"/>
    <mergeCell ref="I5:I15"/>
    <mergeCell ref="B5:C12"/>
    <mergeCell ref="F13:F14"/>
    <mergeCell ref="J5:J13"/>
    <mergeCell ref="N5:N15"/>
    <mergeCell ref="R17:R18"/>
    <mergeCell ref="U26:V26"/>
    <mergeCell ref="K5:K12"/>
    <mergeCell ref="L5:L12"/>
    <mergeCell ref="Y4:AA4"/>
    <mergeCell ref="AG4:AI4"/>
    <mergeCell ref="AF5:AF17"/>
    <mergeCell ref="O5:O8"/>
    <mergeCell ref="R5:R13"/>
    <mergeCell ref="S5:S16"/>
    <mergeCell ref="U17:W21"/>
    <mergeCell ref="Y5:AD8"/>
    <mergeCell ref="Z10:AD11"/>
    <mergeCell ref="AH10:AL11"/>
    <mergeCell ref="Z12:AD13"/>
    <mergeCell ref="AH12:AL13"/>
    <mergeCell ref="AG5:AL8"/>
    <mergeCell ref="AE4:AE26"/>
    <mergeCell ref="T5:T10"/>
    <mergeCell ref="U5:W8"/>
    <mergeCell ref="X5:X17"/>
    <mergeCell ref="W25:W26"/>
    <mergeCell ref="AM26:AN26"/>
    <mergeCell ref="Y25:AA26"/>
    <mergeCell ref="AB25:AD26"/>
    <mergeCell ref="AG25:AI26"/>
    <mergeCell ref="X19:X20"/>
    <mergeCell ref="P5:P11"/>
    <mergeCell ref="Q5:Q11"/>
    <mergeCell ref="B17:C23"/>
    <mergeCell ref="D17:E23"/>
    <mergeCell ref="F17:F18"/>
    <mergeCell ref="H17:H18"/>
    <mergeCell ref="J17:J18"/>
    <mergeCell ref="O14:O15"/>
    <mergeCell ref="O20:O21"/>
  </mergeCells>
  <pageMargins left="0.314" right="0.314" top="0.11799999999999999" bottom="0.27500000000000002" header="0.157" footer="0.11799999999999999"/>
  <pageSetup scale="87" firstPageNumber="20" fitToWidth="0" orientation="landscape" r:id="rId10"/>
  <headerFooter>
    <oddFooter>&amp;C&amp;P</oddFooter>
  </headerFooter>
  <colBreaks count="2" manualBreakCount="2">
    <brk id="12" max="40" man="1"/>
    <brk id="30" max="40"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I89"/>
  <sheetViews>
    <sheetView view="pageBreakPreview" topLeftCell="A19" zoomScale="98" zoomScaleNormal="110" zoomScaleSheetLayoutView="98" workbookViewId="0">
      <selection activeCell="F5" sqref="F5:F8"/>
    </sheetView>
  </sheetViews>
  <sheetFormatPr defaultColWidth="9.140625" defaultRowHeight="15.75"/>
  <cols>
    <col min="1" max="1" width="3.5703125" style="841" customWidth="1"/>
    <col min="2" max="2" width="19.140625" style="1" customWidth="1"/>
    <col min="3" max="3" width="5" style="1" bestFit="1" customWidth="1"/>
    <col min="4" max="4" width="13.5703125" style="1" customWidth="1"/>
    <col min="5" max="5" width="7.42578125" style="1" customWidth="1"/>
    <col min="6" max="6" width="19.5703125" style="1" customWidth="1"/>
    <col min="7" max="9" width="10.7109375" style="1" customWidth="1"/>
    <col min="10" max="10" width="21.85546875" style="837" customWidth="1"/>
    <col min="11" max="11" width="3.5703125" style="841" customWidth="1"/>
    <col min="12" max="12" width="5.42578125" style="1" customWidth="1"/>
    <col min="13" max="13" width="7.85546875" style="1" customWidth="1"/>
    <col min="14" max="14" width="7.7109375" style="1" customWidth="1"/>
    <col min="15" max="15" width="10.7109375" style="1" customWidth="1"/>
    <col min="16" max="16" width="1.140625" style="1" customWidth="1"/>
    <col min="17" max="17" width="1.5703125" style="1" customWidth="1"/>
    <col min="18" max="18" width="10.140625" style="1" customWidth="1"/>
    <col min="19" max="19" width="3" style="1" customWidth="1"/>
    <col min="20" max="20" width="2.7109375" style="1" customWidth="1"/>
    <col min="21" max="21" width="3" style="1" customWidth="1"/>
    <col min="22" max="22" width="10.7109375" style="1" customWidth="1"/>
    <col min="23" max="23" width="1.140625" style="1" customWidth="1"/>
    <col min="24" max="24" width="1.5703125" style="1" customWidth="1"/>
    <col min="25" max="25" width="10.140625" style="1" customWidth="1"/>
    <col min="26" max="26" width="3" style="1" customWidth="1"/>
    <col min="27" max="27" width="2.7109375" style="1" customWidth="1"/>
    <col min="28" max="28" width="3" style="1" customWidth="1"/>
    <col min="29" max="29" width="1.42578125" style="1" customWidth="1"/>
    <col min="30" max="30" width="10.7109375" style="1" customWidth="1"/>
    <col min="31" max="31" width="2.7109375" style="1" customWidth="1"/>
    <col min="32" max="32" width="7.42578125" style="1" customWidth="1"/>
    <col min="33" max="33" width="14.28515625" style="1" customWidth="1"/>
    <col min="34" max="34" width="4.28515625" style="1" customWidth="1"/>
    <col min="35" max="35" width="10.28515625" style="1" customWidth="1"/>
    <col min="36" max="16384" width="9.140625" style="769"/>
  </cols>
  <sheetData>
    <row r="1" spans="1:35" ht="15.75" customHeight="1">
      <c r="A1" s="1159" t="s">
        <v>777</v>
      </c>
      <c r="B1" s="818"/>
      <c r="C1" s="818"/>
      <c r="D1" s="818"/>
      <c r="E1" s="818"/>
      <c r="F1" s="818"/>
      <c r="G1" s="818"/>
      <c r="H1" s="818"/>
      <c r="I1" s="1161"/>
      <c r="J1" s="1161"/>
      <c r="K1" s="1159" t="s">
        <v>777</v>
      </c>
      <c r="L1" s="818"/>
      <c r="M1" s="818"/>
      <c r="N1" s="818"/>
      <c r="O1" s="818"/>
      <c r="P1" s="818"/>
      <c r="Q1" s="818"/>
      <c r="R1" s="818"/>
      <c r="S1" s="818"/>
      <c r="T1" s="818"/>
      <c r="U1" s="818"/>
      <c r="V1" s="818"/>
      <c r="W1" s="818"/>
      <c r="X1" s="818"/>
      <c r="Y1" s="818"/>
      <c r="Z1" s="818"/>
      <c r="AA1" s="818"/>
      <c r="AB1" s="818"/>
      <c r="AC1" s="818"/>
      <c r="AD1" s="818"/>
      <c r="AE1" s="818"/>
      <c r="AF1" s="818"/>
      <c r="AG1" s="818"/>
      <c r="AH1" s="818"/>
      <c r="AI1" s="818"/>
    </row>
    <row r="2" spans="1:35" ht="15.75" customHeight="1">
      <c r="A2" s="1159" t="s">
        <v>950</v>
      </c>
      <c r="B2" s="819"/>
      <c r="C2" s="819"/>
      <c r="D2" s="819"/>
      <c r="E2" s="819"/>
      <c r="F2" s="819"/>
      <c r="G2" s="825"/>
      <c r="H2" s="819"/>
      <c r="I2" s="1161"/>
      <c r="J2" s="1161"/>
      <c r="K2" s="1159" t="s">
        <v>950</v>
      </c>
      <c r="L2" s="819"/>
      <c r="M2" s="819"/>
      <c r="N2" s="819"/>
      <c r="O2" s="825"/>
      <c r="P2" s="825"/>
      <c r="Q2" s="825"/>
      <c r="R2" s="825"/>
      <c r="S2" s="825"/>
      <c r="T2" s="825"/>
      <c r="U2" s="825"/>
      <c r="V2" s="825"/>
      <c r="W2" s="825"/>
      <c r="X2" s="825"/>
      <c r="Y2" s="825"/>
      <c r="Z2" s="825"/>
      <c r="AA2" s="825"/>
      <c r="AB2" s="825"/>
      <c r="AC2" s="825"/>
      <c r="AD2" s="825"/>
      <c r="AE2" s="825"/>
      <c r="AF2" s="825"/>
      <c r="AG2" s="825"/>
      <c r="AH2" s="825"/>
      <c r="AI2" s="825"/>
    </row>
    <row r="3" spans="1:35" ht="15.75" customHeight="1">
      <c r="A3" s="1160"/>
      <c r="B3" s="819"/>
      <c r="C3" s="819"/>
      <c r="D3" s="819"/>
      <c r="E3" s="819"/>
      <c r="F3" s="819"/>
      <c r="G3" s="825"/>
      <c r="H3" s="819"/>
      <c r="I3" s="819"/>
      <c r="J3" s="1161"/>
      <c r="K3" s="1160"/>
      <c r="L3" s="819"/>
      <c r="M3" s="819"/>
      <c r="N3" s="819"/>
      <c r="O3" s="825"/>
      <c r="P3" s="825"/>
      <c r="Q3" s="825"/>
      <c r="R3" s="825"/>
      <c r="S3" s="825"/>
      <c r="T3" s="825"/>
      <c r="U3" s="825"/>
      <c r="V3" s="825"/>
      <c r="W3" s="825"/>
      <c r="X3" s="825"/>
      <c r="Y3" s="825"/>
      <c r="Z3" s="825"/>
      <c r="AA3" s="825"/>
      <c r="AB3" s="825"/>
      <c r="AC3" s="825"/>
      <c r="AD3" s="825"/>
      <c r="AE3" s="825"/>
      <c r="AF3" s="825"/>
      <c r="AG3" s="825"/>
      <c r="AH3" s="830"/>
      <c r="AI3" s="830"/>
    </row>
    <row r="4" spans="1:35" ht="13.5" customHeight="1">
      <c r="A4" s="2477" t="s">
        <v>187</v>
      </c>
      <c r="B4" s="1120">
        <f>S04_Emploi_B!BF4+0.01</f>
        <v>4.5099999999999891</v>
      </c>
      <c r="C4" s="1122"/>
      <c r="D4" s="1121">
        <f>B4+0.01</f>
        <v>4.5199999999999889</v>
      </c>
      <c r="E4" s="1120"/>
      <c r="F4" s="1117">
        <f>D4+0.01</f>
        <v>4.5299999999999887</v>
      </c>
      <c r="G4" s="1117">
        <f>F4+0.01</f>
        <v>4.5399999999999885</v>
      </c>
      <c r="H4" s="1117">
        <f>G4+0.01</f>
        <v>4.5499999999999883</v>
      </c>
      <c r="I4" s="1117">
        <f>H4+0.01</f>
        <v>4.5599999999999881</v>
      </c>
      <c r="J4" s="1117">
        <f>I4+0.01</f>
        <v>4.5699999999999878</v>
      </c>
      <c r="K4" s="2477" t="s">
        <v>187</v>
      </c>
      <c r="L4" s="1544">
        <f>J4+0.01</f>
        <v>4.5799999999999876</v>
      </c>
      <c r="M4" s="1545"/>
      <c r="N4" s="794"/>
      <c r="O4" s="1121">
        <f>L4+0.01</f>
        <v>4.5899999999999874</v>
      </c>
      <c r="P4" s="2460">
        <f>O4+0.01</f>
        <v>4.5999999999999872</v>
      </c>
      <c r="Q4" s="3172"/>
      <c r="R4" s="3172"/>
      <c r="S4" s="903"/>
      <c r="T4" s="903"/>
      <c r="U4" s="794"/>
      <c r="V4" s="1121">
        <f>P4+0.01</f>
        <v>4.609999999999987</v>
      </c>
      <c r="W4" s="2460">
        <f>V4+0.01</f>
        <v>4.6199999999999868</v>
      </c>
      <c r="X4" s="3172"/>
      <c r="Y4" s="3172"/>
      <c r="Z4" s="903"/>
      <c r="AA4" s="903"/>
      <c r="AB4" s="794"/>
      <c r="AC4" s="2460">
        <f>W4+0.01</f>
        <v>4.6299999999999866</v>
      </c>
      <c r="AD4" s="2494"/>
      <c r="AE4" s="2460">
        <f>AC4+0.01</f>
        <v>4.6399999999999864</v>
      </c>
      <c r="AF4" s="2491"/>
      <c r="AG4" s="1122"/>
      <c r="AH4" s="1550" t="str">
        <f>CONCATENATE("(",LEFT(TEXT(AE4,"0,00"), 4), "bis)")</f>
        <v>(4,64bis)</v>
      </c>
      <c r="AI4" s="1551"/>
    </row>
    <row r="5" spans="1:35" ht="12.75" customHeight="1">
      <c r="A5" s="2478"/>
      <c r="B5" s="2447" t="s">
        <v>951</v>
      </c>
      <c r="C5" s="2237"/>
      <c r="D5" s="2236" t="s">
        <v>893</v>
      </c>
      <c r="E5" s="2238"/>
      <c r="F5" s="2199" t="s">
        <v>894</v>
      </c>
      <c r="G5" s="2199" t="s">
        <v>952</v>
      </c>
      <c r="H5" s="2199" t="s">
        <v>899</v>
      </c>
      <c r="I5" s="2482" t="s">
        <v>900</v>
      </c>
      <c r="J5" s="2199" t="s">
        <v>902</v>
      </c>
      <c r="K5" s="2478"/>
      <c r="L5" s="2236" t="s">
        <v>953</v>
      </c>
      <c r="M5" s="2238"/>
      <c r="N5" s="2237"/>
      <c r="O5" s="2199" t="s">
        <v>954</v>
      </c>
      <c r="P5" s="2464" t="s">
        <v>955</v>
      </c>
      <c r="Q5" s="2465"/>
      <c r="R5" s="2465"/>
      <c r="S5" s="2465"/>
      <c r="T5" s="2465"/>
      <c r="U5" s="2466"/>
      <c r="V5" s="2199" t="s">
        <v>956</v>
      </c>
      <c r="W5" s="2464" t="s">
        <v>912</v>
      </c>
      <c r="X5" s="2465"/>
      <c r="Y5" s="2465"/>
      <c r="Z5" s="2465"/>
      <c r="AA5" s="2465"/>
      <c r="AB5" s="2466"/>
      <c r="AC5" s="2236" t="s">
        <v>913</v>
      </c>
      <c r="AD5" s="2237"/>
      <c r="AE5" s="2495" t="s">
        <v>914</v>
      </c>
      <c r="AF5" s="2496"/>
      <c r="AG5" s="2497"/>
      <c r="AH5" s="2498" t="s">
        <v>187</v>
      </c>
      <c r="AI5" s="2476" t="s">
        <v>915</v>
      </c>
    </row>
    <row r="6" spans="1:35" ht="12.75" customHeight="1">
      <c r="A6" s="2478"/>
      <c r="B6" s="2447"/>
      <c r="C6" s="2237"/>
      <c r="D6" s="2236"/>
      <c r="E6" s="2238"/>
      <c r="F6" s="2199"/>
      <c r="G6" s="2199"/>
      <c r="H6" s="2199"/>
      <c r="I6" s="2482"/>
      <c r="J6" s="2199"/>
      <c r="K6" s="2478"/>
      <c r="L6" s="2236"/>
      <c r="M6" s="2238"/>
      <c r="N6" s="2237"/>
      <c r="O6" s="2199"/>
      <c r="P6" s="2467"/>
      <c r="Q6" s="2465"/>
      <c r="R6" s="2465"/>
      <c r="S6" s="2465"/>
      <c r="T6" s="2465"/>
      <c r="U6" s="2466"/>
      <c r="V6" s="2199"/>
      <c r="W6" s="2467"/>
      <c r="X6" s="2465"/>
      <c r="Y6" s="2465"/>
      <c r="Z6" s="2465"/>
      <c r="AA6" s="2465"/>
      <c r="AB6" s="2466"/>
      <c r="AC6" s="2236"/>
      <c r="AD6" s="2237"/>
      <c r="AE6" s="2495"/>
      <c r="AF6" s="2496"/>
      <c r="AG6" s="2497"/>
      <c r="AH6" s="2499"/>
      <c r="AI6" s="2476"/>
    </row>
    <row r="7" spans="1:35" ht="12.75" customHeight="1">
      <c r="A7" s="2478"/>
      <c r="B7" s="2447"/>
      <c r="C7" s="2237"/>
      <c r="D7" s="2236"/>
      <c r="E7" s="2238"/>
      <c r="F7" s="2199"/>
      <c r="G7" s="2199"/>
      <c r="H7" s="2199"/>
      <c r="I7" s="2482"/>
      <c r="J7" s="2199"/>
      <c r="K7" s="2478"/>
      <c r="L7" s="2236"/>
      <c r="M7" s="2238"/>
      <c r="N7" s="2237"/>
      <c r="O7" s="2199"/>
      <c r="P7" s="2467"/>
      <c r="Q7" s="2465"/>
      <c r="R7" s="2465"/>
      <c r="S7" s="2465"/>
      <c r="T7" s="2465"/>
      <c r="U7" s="2466"/>
      <c r="V7" s="2199"/>
      <c r="W7" s="2467"/>
      <c r="X7" s="2465"/>
      <c r="Y7" s="2465"/>
      <c r="Z7" s="2465"/>
      <c r="AA7" s="2465"/>
      <c r="AB7" s="2466"/>
      <c r="AC7" s="2236"/>
      <c r="AD7" s="2237"/>
      <c r="AE7" s="2495"/>
      <c r="AF7" s="2496"/>
      <c r="AG7" s="2497"/>
      <c r="AH7" s="2499"/>
      <c r="AI7" s="2476"/>
    </row>
    <row r="8" spans="1:35" ht="13.5" customHeight="1">
      <c r="A8" s="2478"/>
      <c r="B8" s="2447"/>
      <c r="C8" s="2237"/>
      <c r="D8" s="2236"/>
      <c r="E8" s="2238"/>
      <c r="F8" s="2199"/>
      <c r="G8" s="2199"/>
      <c r="H8" s="2199"/>
      <c r="I8" s="2482"/>
      <c r="J8" s="2199"/>
      <c r="K8" s="2478"/>
      <c r="L8" s="2236"/>
      <c r="M8" s="2238"/>
      <c r="N8" s="2237"/>
      <c r="O8" s="2199"/>
      <c r="P8" s="2468"/>
      <c r="Q8" s="2469"/>
      <c r="R8" s="2469"/>
      <c r="S8" s="2469"/>
      <c r="T8" s="2469"/>
      <c r="U8" s="2470"/>
      <c r="V8" s="2199"/>
      <c r="W8" s="2468"/>
      <c r="X8" s="2469"/>
      <c r="Y8" s="2469"/>
      <c r="Z8" s="2469"/>
      <c r="AA8" s="2469"/>
      <c r="AB8" s="2470"/>
      <c r="AC8" s="2236"/>
      <c r="AD8" s="2237"/>
      <c r="AE8" s="1501" t="s">
        <v>926</v>
      </c>
      <c r="AF8" s="1194"/>
      <c r="AG8" s="83"/>
      <c r="AH8" s="2499"/>
      <c r="AI8" s="2476"/>
    </row>
    <row r="9" spans="1:35" ht="13.5" customHeight="1">
      <c r="A9" s="2478"/>
      <c r="B9" s="2447"/>
      <c r="C9" s="2237"/>
      <c r="D9" s="2236"/>
      <c r="E9" s="2238"/>
      <c r="F9" s="767"/>
      <c r="G9" s="2199"/>
      <c r="H9" s="2199"/>
      <c r="I9" s="2482"/>
      <c r="J9" s="1436" t="s">
        <v>957</v>
      </c>
      <c r="K9" s="2478"/>
      <c r="L9" s="688"/>
      <c r="M9" s="41"/>
      <c r="N9" s="83"/>
      <c r="O9" s="2199"/>
      <c r="P9" s="688"/>
      <c r="Q9" s="41" t="s">
        <v>927</v>
      </c>
      <c r="R9" s="41"/>
      <c r="S9" s="41"/>
      <c r="T9" s="41"/>
      <c r="U9" s="83"/>
      <c r="V9" s="2199"/>
      <c r="W9" s="688"/>
      <c r="X9" s="41" t="s">
        <v>927</v>
      </c>
      <c r="Y9" s="41"/>
      <c r="Z9" s="41"/>
      <c r="AA9" s="41"/>
      <c r="AB9" s="83"/>
      <c r="AC9" s="2236"/>
      <c r="AD9" s="2237"/>
      <c r="AE9" s="1501"/>
      <c r="AF9" s="1194"/>
      <c r="AG9" s="83"/>
      <c r="AH9" s="2499"/>
      <c r="AI9" s="2476"/>
    </row>
    <row r="10" spans="1:35" ht="13.5" customHeight="1">
      <c r="A10" s="2478"/>
      <c r="B10" s="2447"/>
      <c r="C10" s="2237"/>
      <c r="D10" s="2236"/>
      <c r="E10" s="2238"/>
      <c r="F10" s="767" t="str">
        <f>S04_Emploi_B!F12</f>
        <v>1 Estado/associações locais</v>
      </c>
      <c r="G10" s="2199"/>
      <c r="H10" s="2199"/>
      <c r="I10" s="2482"/>
      <c r="J10" s="1"/>
      <c r="K10" s="2478"/>
      <c r="L10" s="688"/>
      <c r="M10" s="813"/>
      <c r="N10" s="83"/>
      <c r="O10" s="2199"/>
      <c r="P10" s="688"/>
      <c r="Q10" s="2471" t="s">
        <v>928</v>
      </c>
      <c r="R10" s="2471"/>
      <c r="S10" s="2471"/>
      <c r="T10" s="2471"/>
      <c r="U10" s="2472"/>
      <c r="V10" s="2199"/>
      <c r="W10" s="688"/>
      <c r="X10" s="2471" t="s">
        <v>928</v>
      </c>
      <c r="Y10" s="2471"/>
      <c r="Z10" s="2471"/>
      <c r="AA10" s="2471"/>
      <c r="AB10" s="2472"/>
      <c r="AC10" s="2236"/>
      <c r="AD10" s="2237"/>
      <c r="AE10" s="1505" t="s">
        <v>929</v>
      </c>
      <c r="AF10" s="41"/>
      <c r="AG10" s="83"/>
      <c r="AH10" s="2499"/>
      <c r="AI10" s="2476"/>
    </row>
    <row r="11" spans="1:35" ht="13.5" customHeight="1">
      <c r="A11" s="2478"/>
      <c r="B11" s="2447"/>
      <c r="C11" s="2237"/>
      <c r="D11" s="1502"/>
      <c r="E11" s="1503"/>
      <c r="F11" s="2487" t="str">
        <f>S04_Emploi_B!F13</f>
        <v>2 Empresa pública/parapública</v>
      </c>
      <c r="G11" s="2199"/>
      <c r="H11" s="2199"/>
      <c r="I11" s="2484"/>
      <c r="J11" s="1109" t="s">
        <v>260</v>
      </c>
      <c r="K11" s="2478"/>
      <c r="L11" s="1505"/>
      <c r="M11" s="1507" t="s">
        <v>930</v>
      </c>
      <c r="N11" s="83"/>
      <c r="O11" s="2199"/>
      <c r="P11" s="688"/>
      <c r="Q11" s="2471"/>
      <c r="R11" s="2471"/>
      <c r="S11" s="2471"/>
      <c r="T11" s="2471"/>
      <c r="U11" s="2472"/>
      <c r="V11" s="2199"/>
      <c r="W11" s="688"/>
      <c r="X11" s="2471"/>
      <c r="Y11" s="2471"/>
      <c r="Z11" s="2471"/>
      <c r="AA11" s="2471"/>
      <c r="AB11" s="2472"/>
      <c r="AC11" s="2236"/>
      <c r="AD11" s="2237"/>
      <c r="AE11" s="41">
        <v>1</v>
      </c>
      <c r="AF11" s="41" t="s">
        <v>931</v>
      </c>
      <c r="AG11" s="83"/>
      <c r="AH11" s="2499"/>
      <c r="AI11" s="2476"/>
    </row>
    <row r="12" spans="1:35" ht="13.5" customHeight="1">
      <c r="A12" s="2478"/>
      <c r="B12" s="2447"/>
      <c r="C12" s="2237"/>
      <c r="D12" s="688"/>
      <c r="E12" s="41"/>
      <c r="F12" s="2487"/>
      <c r="G12" s="2199"/>
      <c r="H12" s="2199"/>
      <c r="I12" s="2484"/>
      <c r="J12" s="1114" t="s">
        <v>277</v>
      </c>
      <c r="K12" s="2478"/>
      <c r="L12" s="41">
        <v>1</v>
      </c>
      <c r="M12" s="41" t="s">
        <v>931</v>
      </c>
      <c r="N12" s="83"/>
      <c r="O12" s="2199"/>
      <c r="P12" s="688"/>
      <c r="Q12" s="2471"/>
      <c r="R12" s="2471"/>
      <c r="S12" s="2471"/>
      <c r="T12" s="2471"/>
      <c r="U12" s="2472"/>
      <c r="V12" s="2199"/>
      <c r="W12" s="688"/>
      <c r="X12" s="2471"/>
      <c r="Y12" s="2471"/>
      <c r="Z12" s="2471"/>
      <c r="AA12" s="2471"/>
      <c r="AB12" s="2472"/>
      <c r="AC12" s="2236"/>
      <c r="AD12" s="2237"/>
      <c r="AE12" s="688">
        <v>2</v>
      </c>
      <c r="AF12" s="41" t="s">
        <v>421</v>
      </c>
      <c r="AG12" s="83"/>
      <c r="AH12" s="2499"/>
      <c r="AI12" s="2476"/>
    </row>
    <row r="13" spans="1:35" ht="13.5" customHeight="1">
      <c r="A13" s="2478"/>
      <c r="B13" s="2447"/>
      <c r="C13" s="2237"/>
      <c r="D13" s="688"/>
      <c r="E13" s="41"/>
      <c r="F13" s="767" t="str">
        <f>S04_Emploi_B!F15</f>
        <v>3 Empresa privada</v>
      </c>
      <c r="G13" s="2199"/>
      <c r="H13" s="2199"/>
      <c r="I13" s="1110"/>
      <c r="J13" s="1114" t="s">
        <v>295</v>
      </c>
      <c r="K13" s="2478"/>
      <c r="L13" s="41">
        <v>2</v>
      </c>
      <c r="M13" s="41" t="s">
        <v>421</v>
      </c>
      <c r="N13" s="83"/>
      <c r="O13" s="2199"/>
      <c r="P13" s="688"/>
      <c r="Q13" s="2471"/>
      <c r="R13" s="2471"/>
      <c r="S13" s="2471"/>
      <c r="T13" s="2471"/>
      <c r="U13" s="2472"/>
      <c r="V13" s="2199"/>
      <c r="W13" s="688"/>
      <c r="X13" s="2471"/>
      <c r="Y13" s="2471"/>
      <c r="Z13" s="2471"/>
      <c r="AA13" s="2471"/>
      <c r="AB13" s="2472"/>
      <c r="AC13" s="2236"/>
      <c r="AD13" s="2237"/>
      <c r="AE13" s="41">
        <v>3</v>
      </c>
      <c r="AF13" s="41" t="s">
        <v>933</v>
      </c>
      <c r="AG13" s="83"/>
      <c r="AH13" s="2499"/>
      <c r="AI13" s="2476"/>
    </row>
    <row r="14" spans="1:35" ht="15.75" customHeight="1">
      <c r="A14" s="2478"/>
      <c r="B14" s="1508"/>
      <c r="C14" s="1509"/>
      <c r="D14" s="688"/>
      <c r="E14" s="41"/>
      <c r="F14" s="767" t="str">
        <f>S04_Emploi_B!F16</f>
        <v>4 Empresa associativa</v>
      </c>
      <c r="G14" s="767"/>
      <c r="H14" s="767"/>
      <c r="I14" s="1110"/>
      <c r="J14" s="2446" t="s">
        <v>321</v>
      </c>
      <c r="K14" s="2478"/>
      <c r="L14" s="41">
        <v>3</v>
      </c>
      <c r="M14" s="41" t="s">
        <v>933</v>
      </c>
      <c r="N14" s="83"/>
      <c r="O14" s="2199"/>
      <c r="P14" s="688"/>
      <c r="Q14" s="41"/>
      <c r="R14" s="41"/>
      <c r="S14" s="41"/>
      <c r="T14" s="41"/>
      <c r="U14" s="83"/>
      <c r="V14" s="2199"/>
      <c r="W14" s="688"/>
      <c r="X14" s="41"/>
      <c r="Y14" s="41"/>
      <c r="Z14" s="41"/>
      <c r="AA14" s="41"/>
      <c r="AB14" s="83"/>
      <c r="AC14" s="2492" t="s">
        <v>106</v>
      </c>
      <c r="AD14" s="2493"/>
      <c r="AE14" s="41">
        <v>4</v>
      </c>
      <c r="AF14" s="41" t="s">
        <v>422</v>
      </c>
      <c r="AG14" s="83"/>
      <c r="AH14" s="2499"/>
    </row>
    <row r="15" spans="1:35" ht="13.5" customHeight="1">
      <c r="A15" s="2478"/>
      <c r="B15" s="953"/>
      <c r="C15" s="954"/>
      <c r="D15" s="688"/>
      <c r="E15" s="41"/>
      <c r="F15" s="2199" t="str">
        <f>S04_Emploi_B!F17</f>
        <v>5 Agregado familiar como empregador de pessoal doméstico</v>
      </c>
      <c r="G15" s="767"/>
      <c r="H15" s="767"/>
      <c r="I15" s="767"/>
      <c r="J15" s="2446"/>
      <c r="K15" s="2478"/>
      <c r="L15" s="41">
        <v>4</v>
      </c>
      <c r="M15" s="41" t="s">
        <v>422</v>
      </c>
      <c r="N15" s="83"/>
      <c r="O15" s="2199"/>
      <c r="P15" s="688"/>
      <c r="Q15" s="1507" t="s">
        <v>929</v>
      </c>
      <c r="R15" s="41"/>
      <c r="S15" s="41"/>
      <c r="T15" s="41"/>
      <c r="U15" s="83"/>
      <c r="V15" s="2199"/>
      <c r="W15" s="688"/>
      <c r="X15" s="1507" t="s">
        <v>929</v>
      </c>
      <c r="Y15" s="41"/>
      <c r="Z15" s="41"/>
      <c r="AA15" s="41"/>
      <c r="AB15" s="83"/>
      <c r="AC15" s="2504" t="str">
        <f>CONCATENATE("2 Não 
►
Secção 5")</f>
        <v>2 Não 
►
Secção 5</v>
      </c>
      <c r="AD15" s="2472"/>
      <c r="AE15" s="688"/>
      <c r="AF15" s="41"/>
      <c r="AG15" s="83"/>
      <c r="AH15" s="2499"/>
      <c r="AI15" s="927"/>
    </row>
    <row r="16" spans="1:35" ht="15.75" customHeight="1">
      <c r="A16" s="2478"/>
      <c r="B16" s="2447" t="s">
        <v>941</v>
      </c>
      <c r="C16" s="2237"/>
      <c r="D16" s="2236" t="s">
        <v>942</v>
      </c>
      <c r="E16" s="2238"/>
      <c r="F16" s="2199"/>
      <c r="G16" s="767"/>
      <c r="H16" s="767"/>
      <c r="I16" s="767"/>
      <c r="J16" s="1115" t="s">
        <v>336</v>
      </c>
      <c r="K16" s="2478"/>
      <c r="L16" s="688"/>
      <c r="M16" s="41"/>
      <c r="N16" s="83"/>
      <c r="O16" s="2199"/>
      <c r="P16" s="688"/>
      <c r="Q16" s="41">
        <v>1</v>
      </c>
      <c r="R16" s="41" t="s">
        <v>931</v>
      </c>
      <c r="S16" s="41"/>
      <c r="T16" s="41"/>
      <c r="U16" s="83"/>
      <c r="V16" s="2199"/>
      <c r="W16" s="688"/>
      <c r="X16" s="41">
        <v>1</v>
      </c>
      <c r="Y16" s="41" t="s">
        <v>931</v>
      </c>
      <c r="Z16" s="41"/>
      <c r="AA16" s="41"/>
      <c r="AB16" s="83"/>
      <c r="AC16" s="2504"/>
      <c r="AD16" s="2472"/>
      <c r="AE16" s="688"/>
      <c r="AF16" s="41"/>
      <c r="AG16" s="83"/>
      <c r="AH16" s="2499"/>
      <c r="AI16" s="908"/>
    </row>
    <row r="17" spans="1:35" ht="13.5" customHeight="1">
      <c r="A17" s="2478"/>
      <c r="B17" s="2447"/>
      <c r="C17" s="2237"/>
      <c r="D17" s="2236"/>
      <c r="E17" s="2238"/>
      <c r="F17" s="2199"/>
      <c r="G17" s="767"/>
      <c r="H17" s="767"/>
      <c r="I17" s="767"/>
      <c r="J17" s="1115" t="s">
        <v>350</v>
      </c>
      <c r="K17" s="2478"/>
      <c r="L17" s="2461"/>
      <c r="M17" s="2462"/>
      <c r="N17" s="2463"/>
      <c r="O17" s="2199"/>
      <c r="P17" s="688"/>
      <c r="Q17" s="811">
        <v>2</v>
      </c>
      <c r="R17" s="811" t="s">
        <v>421</v>
      </c>
      <c r="S17" s="41"/>
      <c r="T17" s="41"/>
      <c r="U17" s="83"/>
      <c r="V17" s="2199"/>
      <c r="W17" s="688"/>
      <c r="X17" s="811">
        <v>2</v>
      </c>
      <c r="Y17" s="811" t="s">
        <v>421</v>
      </c>
      <c r="Z17" s="41"/>
      <c r="AA17" s="41"/>
      <c r="AB17" s="83"/>
      <c r="AC17" s="2504"/>
      <c r="AD17" s="2472"/>
      <c r="AE17" s="688"/>
      <c r="AF17" s="41"/>
      <c r="AG17" s="83"/>
      <c r="AH17" s="2499"/>
      <c r="AI17" s="83"/>
    </row>
    <row r="18" spans="1:35" ht="27">
      <c r="A18" s="2478"/>
      <c r="B18" s="2447"/>
      <c r="C18" s="2237"/>
      <c r="D18" s="2236"/>
      <c r="E18" s="2238"/>
      <c r="F18" s="1123" t="str">
        <f>S04_Emploi_B!F19</f>
        <v>6 Organismo internacional /Embaixada</v>
      </c>
      <c r="G18" s="767"/>
      <c r="H18" s="767"/>
      <c r="I18" s="767"/>
      <c r="J18" s="1512" t="s">
        <v>958</v>
      </c>
      <c r="K18" s="2478"/>
      <c r="L18" s="2461"/>
      <c r="M18" s="2462"/>
      <c r="N18" s="2463"/>
      <c r="O18" s="688" t="s">
        <v>106</v>
      </c>
      <c r="P18" s="688"/>
      <c r="Q18" s="41">
        <v>3</v>
      </c>
      <c r="R18" s="41" t="s">
        <v>933</v>
      </c>
      <c r="S18" s="41"/>
      <c r="T18" s="41"/>
      <c r="U18" s="83"/>
      <c r="V18" s="2199"/>
      <c r="W18" s="688"/>
      <c r="X18" s="41">
        <v>3</v>
      </c>
      <c r="Y18" s="41" t="s">
        <v>933</v>
      </c>
      <c r="Z18" s="41"/>
      <c r="AA18" s="41"/>
      <c r="AB18" s="83"/>
      <c r="AC18" s="688"/>
      <c r="AD18" s="83"/>
      <c r="AE18" s="688"/>
      <c r="AF18" s="41"/>
      <c r="AG18" s="83"/>
      <c r="AH18" s="2499"/>
      <c r="AI18" s="83"/>
    </row>
    <row r="19" spans="1:35" ht="27" customHeight="1">
      <c r="A19" s="2478"/>
      <c r="B19" s="2447"/>
      <c r="C19" s="2237"/>
      <c r="D19" s="2236"/>
      <c r="E19" s="2238"/>
      <c r="F19" s="1546"/>
      <c r="G19" s="767"/>
      <c r="H19" s="767"/>
      <c r="I19" s="767"/>
      <c r="J19" s="1019" t="str">
        <f xml:space="preserve"> CONCATENATE("7 Estagiário ou aprendiz não remunerado
  ►(",TEXT(M4,"0,00"),")")</f>
        <v>7 Estagiário ou aprendiz não remunerado
  ►(0,00)</v>
      </c>
      <c r="K19" s="2478"/>
      <c r="L19" s="2461"/>
      <c r="M19" s="2462"/>
      <c r="N19" s="2463"/>
      <c r="O19" s="2459" t="str">
        <f>CONCATENATE("2 Não ►( ",TEXT(ROUND(V4,2),"0,00"),")")</f>
        <v>2 Não ►( 4,61)</v>
      </c>
      <c r="P19" s="688"/>
      <c r="Q19" s="41">
        <v>4</v>
      </c>
      <c r="R19" s="41" t="s">
        <v>422</v>
      </c>
      <c r="S19" s="41"/>
      <c r="T19" s="41"/>
      <c r="U19" s="83"/>
      <c r="W19" s="688"/>
      <c r="X19" s="41">
        <v>4</v>
      </c>
      <c r="Y19" s="41" t="s">
        <v>422</v>
      </c>
      <c r="Z19" s="41"/>
      <c r="AA19" s="41"/>
      <c r="AB19" s="83"/>
      <c r="AC19" s="688"/>
      <c r="AD19" s="83"/>
      <c r="AE19" s="688"/>
      <c r="AF19" s="41"/>
      <c r="AG19" s="83"/>
      <c r="AH19" s="2499"/>
      <c r="AI19" s="83"/>
    </row>
    <row r="20" spans="1:35" ht="13.5" customHeight="1">
      <c r="A20" s="2478"/>
      <c r="B20" s="2447"/>
      <c r="C20" s="2237"/>
      <c r="D20" s="2236"/>
      <c r="E20" s="2238"/>
      <c r="F20" s="1547"/>
      <c r="G20" s="767"/>
      <c r="H20" s="767"/>
      <c r="I20" s="767"/>
      <c r="J20" s="2446" t="s">
        <v>959</v>
      </c>
      <c r="K20" s="2478"/>
      <c r="L20" s="2461"/>
      <c r="M20" s="2462"/>
      <c r="N20" s="2463"/>
      <c r="O20" s="2459"/>
      <c r="P20" s="688"/>
      <c r="Q20" s="41"/>
      <c r="R20" s="41"/>
      <c r="S20" s="41"/>
      <c r="T20" s="41"/>
      <c r="U20" s="83"/>
      <c r="V20" s="688" t="s">
        <v>106</v>
      </c>
      <c r="W20" s="688"/>
      <c r="X20" s="41"/>
      <c r="Y20" s="41"/>
      <c r="Z20" s="41"/>
      <c r="AA20" s="41"/>
      <c r="AB20" s="83"/>
      <c r="AC20" s="688"/>
      <c r="AD20" s="83"/>
      <c r="AE20" s="688"/>
      <c r="AF20" s="41"/>
      <c r="AG20" s="83"/>
      <c r="AH20" s="2499"/>
      <c r="AI20" s="83"/>
    </row>
    <row r="21" spans="1:35" ht="13.5" customHeight="1">
      <c r="A21" s="2478"/>
      <c r="B21" s="2447"/>
      <c r="C21" s="2237"/>
      <c r="D21" s="2236"/>
      <c r="E21" s="2238"/>
      <c r="F21" s="767"/>
      <c r="G21" s="767"/>
      <c r="H21" s="767"/>
      <c r="I21" s="767"/>
      <c r="J21" s="2446"/>
      <c r="K21" s="2478"/>
      <c r="L21" s="2461"/>
      <c r="M21" s="2462"/>
      <c r="N21" s="2463"/>
      <c r="O21" s="1514"/>
      <c r="P21" s="688"/>
      <c r="Q21" s="41"/>
      <c r="R21" s="41"/>
      <c r="S21" s="41"/>
      <c r="T21" s="41"/>
      <c r="U21" s="83"/>
      <c r="V21" s="2459" t="str">
        <f>CONCATENATE("2 Não 
►( ",TEXT(ROUND(AC4,2),"0,00"),")")</f>
        <v>2 Não 
►( 4,63)</v>
      </c>
      <c r="W21" s="688"/>
      <c r="X21" s="41"/>
      <c r="Y21" s="41"/>
      <c r="Z21" s="41"/>
      <c r="AA21" s="41"/>
      <c r="AB21" s="83"/>
      <c r="AC21" s="688"/>
      <c r="AD21" s="83"/>
      <c r="AE21" s="688"/>
      <c r="AF21" s="41"/>
      <c r="AG21" s="83"/>
      <c r="AH21" s="2499"/>
      <c r="AI21" s="83"/>
    </row>
    <row r="22" spans="1:35" ht="13.5" customHeight="1">
      <c r="A22" s="2478"/>
      <c r="B22" s="2447"/>
      <c r="C22" s="2237"/>
      <c r="D22" s="2236"/>
      <c r="E22" s="2238"/>
      <c r="F22" s="859"/>
      <c r="G22" s="767"/>
      <c r="H22" s="767"/>
      <c r="I22" s="767"/>
      <c r="J22" s="1115" t="s">
        <v>389</v>
      </c>
      <c r="K22" s="2478"/>
      <c r="L22" s="688"/>
      <c r="M22" s="41"/>
      <c r="N22" s="83"/>
      <c r="O22" s="1514"/>
      <c r="P22" s="688"/>
      <c r="Q22" s="41"/>
      <c r="R22" s="41"/>
      <c r="S22" s="41"/>
      <c r="T22" s="41"/>
      <c r="U22" s="83"/>
      <c r="V22" s="2459"/>
      <c r="W22" s="688"/>
      <c r="X22" s="41"/>
      <c r="Y22" s="41"/>
      <c r="Z22" s="41"/>
      <c r="AA22" s="41"/>
      <c r="AB22" s="83"/>
      <c r="AC22" s="688"/>
      <c r="AD22" s="83"/>
      <c r="AE22" s="688"/>
      <c r="AF22" s="41"/>
      <c r="AG22" s="83"/>
      <c r="AH22" s="2499"/>
      <c r="AI22" s="83"/>
    </row>
    <row r="23" spans="1:35" ht="13.5" customHeight="1">
      <c r="A23" s="2478"/>
      <c r="B23" s="41"/>
      <c r="C23" s="83"/>
      <c r="D23" s="2236"/>
      <c r="E23" s="2238"/>
      <c r="F23" s="767"/>
      <c r="G23" s="767"/>
      <c r="H23" s="767"/>
      <c r="I23" s="767"/>
      <c r="J23" s="1115" t="s">
        <v>396</v>
      </c>
      <c r="K23" s="2478"/>
      <c r="L23" s="688"/>
      <c r="M23" s="41"/>
      <c r="N23" s="2387" t="s">
        <v>930</v>
      </c>
      <c r="O23" s="1514"/>
      <c r="P23" s="923"/>
      <c r="Q23" s="810"/>
      <c r="R23" s="810"/>
      <c r="S23" s="810"/>
      <c r="T23" s="810"/>
      <c r="U23" s="809"/>
      <c r="V23" s="1514"/>
      <c r="W23" s="923"/>
      <c r="X23" s="810"/>
      <c r="Y23" s="810"/>
      <c r="Z23" s="810"/>
      <c r="AA23" s="810"/>
      <c r="AB23" s="809"/>
      <c r="AC23" s="688"/>
      <c r="AD23" s="83"/>
      <c r="AE23" s="688"/>
      <c r="AF23" s="41"/>
      <c r="AH23" s="2499"/>
      <c r="AI23" s="83"/>
    </row>
    <row r="24" spans="1:35" ht="13.5" customHeight="1">
      <c r="A24" s="2478"/>
      <c r="B24" s="41"/>
      <c r="C24" s="83"/>
      <c r="D24" s="688"/>
      <c r="E24" s="41"/>
      <c r="F24" s="768"/>
      <c r="G24" s="767"/>
      <c r="H24" s="767"/>
      <c r="I24" s="768"/>
      <c r="J24" s="1115" t="s">
        <v>400</v>
      </c>
      <c r="K24" s="2478"/>
      <c r="L24" s="1518"/>
      <c r="M24" s="1519"/>
      <c r="N24" s="2501"/>
      <c r="O24" s="1516"/>
      <c r="P24" s="2452" t="s">
        <v>428</v>
      </c>
      <c r="Q24" s="2453"/>
      <c r="R24" s="2454"/>
      <c r="S24" s="2457" t="s">
        <v>930</v>
      </c>
      <c r="T24" s="2453"/>
      <c r="U24" s="2453"/>
      <c r="V24" s="1516"/>
      <c r="W24" s="2452" t="s">
        <v>428</v>
      </c>
      <c r="X24" s="2453"/>
      <c r="Y24" s="2454"/>
      <c r="Z24" s="2457" t="s">
        <v>930</v>
      </c>
      <c r="AA24" s="2453"/>
      <c r="AB24" s="2453"/>
      <c r="AC24" s="688"/>
      <c r="AD24" s="83"/>
      <c r="AE24" s="2457" t="s">
        <v>428</v>
      </c>
      <c r="AF24" s="2452"/>
      <c r="AG24" s="2387" t="s">
        <v>930</v>
      </c>
      <c r="AH24" s="2499"/>
    </row>
    <row r="25" spans="1:35" ht="14.25" customHeight="1" thickBot="1">
      <c r="A25" s="2479"/>
      <c r="B25" s="1520" t="s">
        <v>945</v>
      </c>
      <c r="C25" s="1253" t="s">
        <v>420</v>
      </c>
      <c r="D25" s="1253" t="s">
        <v>946</v>
      </c>
      <c r="E25" s="1253" t="s">
        <v>420</v>
      </c>
      <c r="F25" s="1253" t="s">
        <v>420</v>
      </c>
      <c r="G25" s="808" t="s">
        <v>421</v>
      </c>
      <c r="H25" s="808" t="s">
        <v>947</v>
      </c>
      <c r="I25" s="808" t="s">
        <v>888</v>
      </c>
      <c r="J25" s="1253" t="s">
        <v>420</v>
      </c>
      <c r="K25" s="2479"/>
      <c r="L25" s="2480" t="s">
        <v>428</v>
      </c>
      <c r="M25" s="2481"/>
      <c r="N25" s="2502"/>
      <c r="O25" s="1525"/>
      <c r="P25" s="2455"/>
      <c r="Q25" s="2455"/>
      <c r="R25" s="2456"/>
      <c r="S25" s="2458"/>
      <c r="T25" s="2455"/>
      <c r="U25" s="2455"/>
      <c r="V25" s="1525"/>
      <c r="W25" s="2455"/>
      <c r="X25" s="2455"/>
      <c r="Y25" s="2456"/>
      <c r="Z25" s="2458"/>
      <c r="AA25" s="2455"/>
      <c r="AB25" s="2455"/>
      <c r="AC25" s="2450" t="s">
        <v>420</v>
      </c>
      <c r="AD25" s="2451"/>
      <c r="AE25" s="2489"/>
      <c r="AF25" s="2503"/>
      <c r="AG25" s="2449"/>
      <c r="AH25" s="2500"/>
      <c r="AI25" s="1552" t="s">
        <v>420</v>
      </c>
    </row>
    <row r="26" spans="1:35" ht="14.25" customHeight="1" thickTop="1">
      <c r="A26" s="1526" t="s">
        <v>775</v>
      </c>
      <c r="B26" s="831"/>
      <c r="C26" s="833"/>
      <c r="D26" s="833"/>
      <c r="E26" s="1527"/>
      <c r="F26" s="1527"/>
      <c r="G26" s="833"/>
      <c r="H26" s="833"/>
      <c r="I26" s="1528"/>
      <c r="J26" s="1548"/>
      <c r="K26" s="1526" t="s">
        <v>775</v>
      </c>
      <c r="L26" s="1530"/>
      <c r="M26" s="1531"/>
      <c r="N26" s="831"/>
      <c r="O26" s="833"/>
      <c r="P26" s="1532"/>
      <c r="Q26" s="1532"/>
      <c r="R26" s="831"/>
      <c r="S26" s="1527"/>
      <c r="T26" s="1532"/>
      <c r="U26" s="831"/>
      <c r="V26" s="833"/>
      <c r="W26" s="1532"/>
      <c r="X26" s="1532"/>
      <c r="Y26" s="831"/>
      <c r="Z26" s="1527"/>
      <c r="AA26" s="1532"/>
      <c r="AB26" s="831"/>
      <c r="AC26" s="1527"/>
      <c r="AD26" s="831"/>
      <c r="AE26" s="1527"/>
      <c r="AF26" s="831"/>
      <c r="AG26" s="833"/>
      <c r="AH26" s="1526" t="s">
        <v>775</v>
      </c>
      <c r="AI26" s="831"/>
    </row>
    <row r="27" spans="1:35" ht="14.25" customHeight="1">
      <c r="A27" s="1184" t="s">
        <v>776</v>
      </c>
      <c r="B27" s="834"/>
      <c r="C27" s="836"/>
      <c r="D27" s="836"/>
      <c r="E27" s="1534"/>
      <c r="F27" s="1534"/>
      <c r="G27" s="836"/>
      <c r="H27" s="836"/>
      <c r="I27" s="1535"/>
      <c r="J27" s="1549"/>
      <c r="K27" s="1184" t="s">
        <v>776</v>
      </c>
      <c r="L27" s="1537"/>
      <c r="M27" s="1538"/>
      <c r="N27" s="834"/>
      <c r="O27" s="836"/>
      <c r="P27" s="1539"/>
      <c r="Q27" s="1539"/>
      <c r="R27" s="834"/>
      <c r="S27" s="1534"/>
      <c r="T27" s="1539"/>
      <c r="U27" s="834"/>
      <c r="V27" s="836"/>
      <c r="W27" s="1539"/>
      <c r="X27" s="1539"/>
      <c r="Y27" s="834"/>
      <c r="Z27" s="1534"/>
      <c r="AA27" s="1539"/>
      <c r="AB27" s="834"/>
      <c r="AC27" s="1534"/>
      <c r="AD27" s="834"/>
      <c r="AE27" s="1534"/>
      <c r="AF27" s="834"/>
      <c r="AG27" s="836"/>
      <c r="AH27" s="1184" t="s">
        <v>776</v>
      </c>
      <c r="AI27" s="834"/>
    </row>
    <row r="28" spans="1:35" ht="14.25" customHeight="1">
      <c r="A28" s="1186">
        <v>3</v>
      </c>
      <c r="B28" s="834"/>
      <c r="C28" s="836"/>
      <c r="D28" s="836"/>
      <c r="E28" s="1534"/>
      <c r="F28" s="1534"/>
      <c r="G28" s="836"/>
      <c r="H28" s="836"/>
      <c r="I28" s="1535"/>
      <c r="J28" s="1549"/>
      <c r="K28" s="1186">
        <v>3</v>
      </c>
      <c r="L28" s="1537"/>
      <c r="M28" s="1538"/>
      <c r="N28" s="834"/>
      <c r="O28" s="836"/>
      <c r="P28" s="1539"/>
      <c r="Q28" s="1539"/>
      <c r="R28" s="834"/>
      <c r="S28" s="1534"/>
      <c r="T28" s="1539"/>
      <c r="U28" s="834"/>
      <c r="V28" s="836"/>
      <c r="W28" s="1539"/>
      <c r="X28" s="1539"/>
      <c r="Y28" s="834"/>
      <c r="Z28" s="1534"/>
      <c r="AA28" s="1539"/>
      <c r="AB28" s="834"/>
      <c r="AC28" s="1534"/>
      <c r="AD28" s="834"/>
      <c r="AE28" s="1534"/>
      <c r="AF28" s="834"/>
      <c r="AG28" s="836"/>
      <c r="AH28" s="1186">
        <v>3</v>
      </c>
      <c r="AI28" s="834"/>
    </row>
    <row r="29" spans="1:35" ht="14.25" customHeight="1">
      <c r="A29" s="1186">
        <v>4</v>
      </c>
      <c r="B29" s="834"/>
      <c r="C29" s="836"/>
      <c r="D29" s="836"/>
      <c r="E29" s="1534"/>
      <c r="F29" s="1534"/>
      <c r="G29" s="836"/>
      <c r="H29" s="836"/>
      <c r="I29" s="1535"/>
      <c r="J29" s="1549"/>
      <c r="K29" s="1186">
        <v>4</v>
      </c>
      <c r="L29" s="1537"/>
      <c r="M29" s="1538"/>
      <c r="N29" s="834"/>
      <c r="O29" s="836"/>
      <c r="P29" s="1539"/>
      <c r="Q29" s="1539"/>
      <c r="R29" s="834"/>
      <c r="S29" s="1534"/>
      <c r="T29" s="1539"/>
      <c r="U29" s="834"/>
      <c r="V29" s="836"/>
      <c r="W29" s="1539"/>
      <c r="X29" s="1539"/>
      <c r="Y29" s="834"/>
      <c r="Z29" s="1534"/>
      <c r="AA29" s="1539"/>
      <c r="AB29" s="834"/>
      <c r="AC29" s="1534"/>
      <c r="AD29" s="834"/>
      <c r="AE29" s="1534"/>
      <c r="AF29" s="834"/>
      <c r="AG29" s="836"/>
      <c r="AH29" s="1186">
        <v>4</v>
      </c>
      <c r="AI29" s="834"/>
    </row>
    <row r="30" spans="1:35" ht="14.25" customHeight="1">
      <c r="A30" s="1186">
        <v>5</v>
      </c>
      <c r="B30" s="834"/>
      <c r="C30" s="836"/>
      <c r="D30" s="836"/>
      <c r="E30" s="1534"/>
      <c r="F30" s="1534"/>
      <c r="G30" s="836"/>
      <c r="H30" s="836"/>
      <c r="I30" s="1535"/>
      <c r="J30" s="1549"/>
      <c r="K30" s="1186">
        <v>5</v>
      </c>
      <c r="L30" s="1537"/>
      <c r="M30" s="1538"/>
      <c r="N30" s="834"/>
      <c r="O30" s="836"/>
      <c r="P30" s="1539"/>
      <c r="Q30" s="1539"/>
      <c r="R30" s="834"/>
      <c r="S30" s="1534"/>
      <c r="T30" s="1539"/>
      <c r="U30" s="834"/>
      <c r="V30" s="836"/>
      <c r="W30" s="1539"/>
      <c r="X30" s="1539"/>
      <c r="Y30" s="834"/>
      <c r="Z30" s="1534"/>
      <c r="AA30" s="1539"/>
      <c r="AB30" s="834"/>
      <c r="AC30" s="1534"/>
      <c r="AD30" s="834"/>
      <c r="AE30" s="1534"/>
      <c r="AF30" s="834"/>
      <c r="AG30" s="836"/>
      <c r="AH30" s="1186">
        <v>5</v>
      </c>
      <c r="AI30" s="834"/>
    </row>
    <row r="31" spans="1:35" ht="14.25" customHeight="1">
      <c r="A31" s="1188">
        <v>6</v>
      </c>
      <c r="B31" s="834"/>
      <c r="C31" s="836"/>
      <c r="D31" s="836"/>
      <c r="E31" s="1534"/>
      <c r="F31" s="1534"/>
      <c r="G31" s="836"/>
      <c r="H31" s="836"/>
      <c r="I31" s="1535"/>
      <c r="J31" s="1549"/>
      <c r="K31" s="1188">
        <v>6</v>
      </c>
      <c r="L31" s="1537"/>
      <c r="M31" s="1538"/>
      <c r="N31" s="834"/>
      <c r="O31" s="836"/>
      <c r="P31" s="1539"/>
      <c r="Q31" s="1539"/>
      <c r="R31" s="834"/>
      <c r="S31" s="1534"/>
      <c r="T31" s="1539"/>
      <c r="U31" s="834"/>
      <c r="V31" s="836"/>
      <c r="W31" s="1539"/>
      <c r="X31" s="1539"/>
      <c r="Y31" s="834"/>
      <c r="Z31" s="1534"/>
      <c r="AA31" s="1539"/>
      <c r="AB31" s="834"/>
      <c r="AC31" s="1534"/>
      <c r="AD31" s="834"/>
      <c r="AE31" s="1534"/>
      <c r="AF31" s="834"/>
      <c r="AG31" s="836"/>
      <c r="AH31" s="1188">
        <v>6</v>
      </c>
      <c r="AI31" s="834"/>
    </row>
    <row r="32" spans="1:35" ht="14.25" customHeight="1">
      <c r="A32" s="1188">
        <v>7</v>
      </c>
      <c r="B32" s="834"/>
      <c r="C32" s="836"/>
      <c r="D32" s="836"/>
      <c r="E32" s="1534"/>
      <c r="F32" s="1534"/>
      <c r="G32" s="836"/>
      <c r="H32" s="836"/>
      <c r="I32" s="1535"/>
      <c r="J32" s="1549"/>
      <c r="K32" s="1188">
        <v>7</v>
      </c>
      <c r="L32" s="1537"/>
      <c r="M32" s="1538"/>
      <c r="N32" s="834"/>
      <c r="O32" s="836"/>
      <c r="P32" s="1539"/>
      <c r="Q32" s="1539"/>
      <c r="R32" s="834"/>
      <c r="S32" s="1534"/>
      <c r="T32" s="1539"/>
      <c r="U32" s="834"/>
      <c r="V32" s="836"/>
      <c r="W32" s="1539"/>
      <c r="X32" s="1539"/>
      <c r="Y32" s="834"/>
      <c r="Z32" s="1534"/>
      <c r="AA32" s="1539"/>
      <c r="AB32" s="834"/>
      <c r="AC32" s="1534"/>
      <c r="AD32" s="834"/>
      <c r="AE32" s="1534"/>
      <c r="AF32" s="834"/>
      <c r="AG32" s="836"/>
      <c r="AH32" s="1188">
        <v>7</v>
      </c>
      <c r="AI32" s="834"/>
    </row>
    <row r="33" spans="1:35" ht="14.25" customHeight="1">
      <c r="A33" s="1188">
        <v>8</v>
      </c>
      <c r="B33" s="834"/>
      <c r="C33" s="836"/>
      <c r="D33" s="836"/>
      <c r="E33" s="1534"/>
      <c r="F33" s="1534"/>
      <c r="G33" s="836"/>
      <c r="H33" s="836"/>
      <c r="I33" s="1535"/>
      <c r="J33" s="1549"/>
      <c r="K33" s="1188">
        <v>8</v>
      </c>
      <c r="L33" s="1537"/>
      <c r="M33" s="1538"/>
      <c r="N33" s="834"/>
      <c r="O33" s="836"/>
      <c r="P33" s="1539"/>
      <c r="Q33" s="1539"/>
      <c r="R33" s="834"/>
      <c r="S33" s="1534"/>
      <c r="T33" s="1539"/>
      <c r="U33" s="834"/>
      <c r="V33" s="836"/>
      <c r="W33" s="1539"/>
      <c r="X33" s="1539"/>
      <c r="Y33" s="834"/>
      <c r="Z33" s="1534"/>
      <c r="AA33" s="1539"/>
      <c r="AB33" s="834"/>
      <c r="AC33" s="1534"/>
      <c r="AD33" s="834"/>
      <c r="AE33" s="1534"/>
      <c r="AF33" s="834"/>
      <c r="AG33" s="836"/>
      <c r="AH33" s="1188">
        <v>8</v>
      </c>
      <c r="AI33" s="834"/>
    </row>
    <row r="34" spans="1:35" ht="14.25" customHeight="1">
      <c r="A34" s="1188">
        <v>9</v>
      </c>
      <c r="B34" s="834"/>
      <c r="C34" s="836"/>
      <c r="D34" s="836"/>
      <c r="E34" s="1534"/>
      <c r="F34" s="1534"/>
      <c r="G34" s="836"/>
      <c r="H34" s="836"/>
      <c r="I34" s="1535"/>
      <c r="J34" s="1549"/>
      <c r="K34" s="1188">
        <v>9</v>
      </c>
      <c r="L34" s="1537"/>
      <c r="M34" s="1538"/>
      <c r="N34" s="834"/>
      <c r="O34" s="836"/>
      <c r="P34" s="1539"/>
      <c r="Q34" s="1539"/>
      <c r="R34" s="834"/>
      <c r="S34" s="1534"/>
      <c r="T34" s="1539"/>
      <c r="U34" s="834"/>
      <c r="V34" s="836"/>
      <c r="W34" s="1539"/>
      <c r="X34" s="1539"/>
      <c r="Y34" s="834"/>
      <c r="Z34" s="1534"/>
      <c r="AA34" s="1539"/>
      <c r="AB34" s="834"/>
      <c r="AC34" s="1534"/>
      <c r="AD34" s="834"/>
      <c r="AE34" s="1534"/>
      <c r="AF34" s="834"/>
      <c r="AG34" s="836"/>
      <c r="AH34" s="1188">
        <v>9</v>
      </c>
      <c r="AI34" s="834"/>
    </row>
    <row r="35" spans="1:35" ht="14.25" customHeight="1">
      <c r="A35" s="1188">
        <v>10</v>
      </c>
      <c r="B35" s="834"/>
      <c r="C35" s="836"/>
      <c r="D35" s="836"/>
      <c r="E35" s="1534"/>
      <c r="F35" s="1534"/>
      <c r="G35" s="836"/>
      <c r="H35" s="836"/>
      <c r="I35" s="1535"/>
      <c r="J35" s="1549"/>
      <c r="K35" s="1188">
        <v>10</v>
      </c>
      <c r="L35" s="1537"/>
      <c r="M35" s="1538"/>
      <c r="N35" s="834"/>
      <c r="O35" s="836"/>
      <c r="P35" s="1539"/>
      <c r="Q35" s="1539"/>
      <c r="R35" s="834"/>
      <c r="S35" s="1534"/>
      <c r="T35" s="1539"/>
      <c r="U35" s="834"/>
      <c r="V35" s="836"/>
      <c r="W35" s="1539"/>
      <c r="X35" s="1539"/>
      <c r="Y35" s="834"/>
      <c r="Z35" s="1534"/>
      <c r="AA35" s="1539"/>
      <c r="AB35" s="834"/>
      <c r="AC35" s="1534"/>
      <c r="AD35" s="834"/>
      <c r="AE35" s="1534"/>
      <c r="AF35" s="834"/>
      <c r="AG35" s="836"/>
      <c r="AH35" s="1188">
        <v>10</v>
      </c>
      <c r="AI35" s="834"/>
    </row>
    <row r="36" spans="1:35" ht="14.25" customHeight="1">
      <c r="A36" s="1186">
        <v>11</v>
      </c>
      <c r="B36" s="834"/>
      <c r="C36" s="836"/>
      <c r="D36" s="836"/>
      <c r="E36" s="1534"/>
      <c r="F36" s="1534"/>
      <c r="G36" s="836"/>
      <c r="H36" s="836"/>
      <c r="I36" s="1535"/>
      <c r="J36" s="1549"/>
      <c r="K36" s="1186">
        <v>11</v>
      </c>
      <c r="L36" s="1537"/>
      <c r="M36" s="1538"/>
      <c r="N36" s="834"/>
      <c r="O36" s="836"/>
      <c r="P36" s="1539"/>
      <c r="Q36" s="1539"/>
      <c r="R36" s="834"/>
      <c r="S36" s="1534"/>
      <c r="T36" s="1539"/>
      <c r="U36" s="834"/>
      <c r="V36" s="836"/>
      <c r="W36" s="1539"/>
      <c r="X36" s="1539"/>
      <c r="Y36" s="834"/>
      <c r="Z36" s="1534"/>
      <c r="AA36" s="1539"/>
      <c r="AB36" s="834"/>
      <c r="AC36" s="1534"/>
      <c r="AD36" s="834"/>
      <c r="AE36" s="1534"/>
      <c r="AF36" s="834"/>
      <c r="AG36" s="836"/>
      <c r="AH36" s="1186">
        <v>11</v>
      </c>
      <c r="AI36" s="834"/>
    </row>
    <row r="37" spans="1:35" ht="14.25" customHeight="1">
      <c r="A37" s="1186">
        <v>12</v>
      </c>
      <c r="B37" s="834"/>
      <c r="C37" s="836"/>
      <c r="D37" s="836"/>
      <c r="E37" s="1534"/>
      <c r="F37" s="1534"/>
      <c r="G37" s="836"/>
      <c r="H37" s="836"/>
      <c r="I37" s="1535"/>
      <c r="J37" s="1549"/>
      <c r="K37" s="1186">
        <v>12</v>
      </c>
      <c r="L37" s="1537"/>
      <c r="M37" s="1538"/>
      <c r="N37" s="834"/>
      <c r="O37" s="836"/>
      <c r="P37" s="1539"/>
      <c r="Q37" s="1539"/>
      <c r="R37" s="834"/>
      <c r="S37" s="1534"/>
      <c r="T37" s="1539"/>
      <c r="U37" s="834"/>
      <c r="V37" s="836"/>
      <c r="W37" s="1539"/>
      <c r="X37" s="1539"/>
      <c r="Y37" s="834"/>
      <c r="Z37" s="1534"/>
      <c r="AA37" s="1539"/>
      <c r="AB37" s="834"/>
      <c r="AC37" s="1534"/>
      <c r="AD37" s="834"/>
      <c r="AE37" s="1534"/>
      <c r="AF37" s="834"/>
      <c r="AG37" s="836"/>
      <c r="AH37" s="1186">
        <v>12</v>
      </c>
      <c r="AI37" s="834"/>
    </row>
    <row r="38" spans="1:35" ht="14.25" customHeight="1">
      <c r="A38" s="1186">
        <v>13</v>
      </c>
      <c r="B38" s="834"/>
      <c r="C38" s="836"/>
      <c r="D38" s="836"/>
      <c r="E38" s="1534"/>
      <c r="F38" s="1534"/>
      <c r="G38" s="836"/>
      <c r="H38" s="836"/>
      <c r="I38" s="1535"/>
      <c r="J38" s="1549"/>
      <c r="K38" s="1186">
        <v>13</v>
      </c>
      <c r="L38" s="1537"/>
      <c r="M38" s="1538"/>
      <c r="N38" s="834"/>
      <c r="O38" s="836"/>
      <c r="P38" s="1539"/>
      <c r="Q38" s="1539"/>
      <c r="R38" s="834"/>
      <c r="S38" s="1534"/>
      <c r="T38" s="1539"/>
      <c r="U38" s="834"/>
      <c r="V38" s="836"/>
      <c r="W38" s="1539"/>
      <c r="X38" s="1539"/>
      <c r="Y38" s="834"/>
      <c r="Z38" s="1534"/>
      <c r="AA38" s="1539"/>
      <c r="AB38" s="834"/>
      <c r="AC38" s="1534"/>
      <c r="AD38" s="834"/>
      <c r="AE38" s="1534"/>
      <c r="AF38" s="834"/>
      <c r="AG38" s="836"/>
      <c r="AH38" s="1186">
        <v>13</v>
      </c>
      <c r="AI38" s="834"/>
    </row>
    <row r="39" spans="1:35" ht="14.25" customHeight="1">
      <c r="A39" s="1186">
        <v>14</v>
      </c>
      <c r="B39" s="834"/>
      <c r="C39" s="836"/>
      <c r="D39" s="836"/>
      <c r="E39" s="1534"/>
      <c r="F39" s="1534"/>
      <c r="G39" s="836"/>
      <c r="H39" s="836"/>
      <c r="I39" s="1535"/>
      <c r="J39" s="1549"/>
      <c r="K39" s="1186">
        <v>14</v>
      </c>
      <c r="L39" s="1537"/>
      <c r="M39" s="1538"/>
      <c r="N39" s="834"/>
      <c r="O39" s="836"/>
      <c r="P39" s="1539"/>
      <c r="Q39" s="1539"/>
      <c r="R39" s="834"/>
      <c r="S39" s="1534"/>
      <c r="T39" s="1539"/>
      <c r="U39" s="834"/>
      <c r="V39" s="836"/>
      <c r="W39" s="1539"/>
      <c r="X39" s="1539"/>
      <c r="Y39" s="834"/>
      <c r="Z39" s="1534"/>
      <c r="AA39" s="1539"/>
      <c r="AB39" s="834"/>
      <c r="AC39" s="1534"/>
      <c r="AD39" s="834"/>
      <c r="AE39" s="1534"/>
      <c r="AF39" s="834"/>
      <c r="AG39" s="836"/>
      <c r="AH39" s="1186">
        <v>14</v>
      </c>
      <c r="AI39" s="834"/>
    </row>
    <row r="40" spans="1:35" ht="14.25" customHeight="1">
      <c r="A40" s="1188">
        <v>15</v>
      </c>
      <c r="B40" s="834"/>
      <c r="C40" s="836"/>
      <c r="D40" s="836"/>
      <c r="E40" s="1534"/>
      <c r="F40" s="1534"/>
      <c r="G40" s="836"/>
      <c r="H40" s="836"/>
      <c r="I40" s="1535"/>
      <c r="J40" s="1549"/>
      <c r="K40" s="1188">
        <v>15</v>
      </c>
      <c r="L40" s="1537"/>
      <c r="M40" s="1538"/>
      <c r="N40" s="834"/>
      <c r="O40" s="836"/>
      <c r="P40" s="1539"/>
      <c r="Q40" s="1539"/>
      <c r="R40" s="834"/>
      <c r="S40" s="1534"/>
      <c r="T40" s="1539"/>
      <c r="U40" s="834"/>
      <c r="V40" s="836"/>
      <c r="W40" s="1539"/>
      <c r="X40" s="1539"/>
      <c r="Y40" s="834"/>
      <c r="Z40" s="1534"/>
      <c r="AA40" s="1539"/>
      <c r="AB40" s="834"/>
      <c r="AC40" s="1534"/>
      <c r="AD40" s="834"/>
      <c r="AE40" s="1534"/>
      <c r="AF40" s="834"/>
      <c r="AG40" s="836"/>
      <c r="AH40" s="1188">
        <v>15</v>
      </c>
      <c r="AI40" s="834"/>
    </row>
    <row r="41" spans="1:35">
      <c r="P41" s="837"/>
      <c r="Q41" s="837"/>
      <c r="R41" s="837"/>
      <c r="S41" s="837"/>
      <c r="T41" s="837"/>
      <c r="U41" s="837"/>
      <c r="W41" s="837"/>
      <c r="X41" s="837"/>
      <c r="Y41" s="837"/>
      <c r="Z41" s="837"/>
      <c r="AA41" s="837"/>
      <c r="AB41" s="837"/>
      <c r="AC41" s="837"/>
      <c r="AD41" s="837"/>
      <c r="AE41" s="837"/>
      <c r="AF41" s="837"/>
      <c r="AG41" s="837"/>
    </row>
    <row r="42" spans="1:35">
      <c r="P42" s="837"/>
      <c r="Q42" s="837"/>
      <c r="R42" s="837"/>
      <c r="S42" s="837"/>
      <c r="T42" s="837"/>
      <c r="U42" s="837"/>
      <c r="W42" s="837"/>
      <c r="X42" s="837"/>
      <c r="Y42" s="837"/>
      <c r="Z42" s="837"/>
      <c r="AA42" s="837"/>
      <c r="AB42" s="837"/>
      <c r="AC42" s="837"/>
      <c r="AD42" s="837"/>
      <c r="AE42" s="837"/>
      <c r="AF42" s="837"/>
      <c r="AG42" s="837"/>
      <c r="AH42" s="837"/>
      <c r="AI42" s="837"/>
    </row>
    <row r="43" spans="1:35">
      <c r="P43" s="837"/>
      <c r="Q43" s="837"/>
      <c r="R43" s="837"/>
      <c r="S43" s="837"/>
      <c r="T43" s="837"/>
      <c r="U43" s="837"/>
      <c r="W43" s="837"/>
      <c r="X43" s="837"/>
      <c r="Y43" s="837"/>
      <c r="Z43" s="837"/>
      <c r="AA43" s="837"/>
      <c r="AB43" s="837"/>
      <c r="AC43" s="837"/>
      <c r="AD43" s="837"/>
      <c r="AE43" s="837"/>
      <c r="AF43" s="837"/>
      <c r="AG43" s="837"/>
      <c r="AH43" s="837"/>
      <c r="AI43" s="837"/>
    </row>
    <row r="44" spans="1:35">
      <c r="P44" s="837"/>
      <c r="Q44" s="837"/>
      <c r="R44" s="837"/>
      <c r="S44" s="837"/>
      <c r="T44" s="837"/>
      <c r="U44" s="837"/>
      <c r="W44" s="837"/>
      <c r="X44" s="837"/>
      <c r="Y44" s="837"/>
      <c r="Z44" s="837"/>
      <c r="AA44" s="837"/>
      <c r="AB44" s="837"/>
      <c r="AC44" s="837"/>
      <c r="AD44" s="837"/>
      <c r="AE44" s="837"/>
      <c r="AF44" s="837"/>
      <c r="AG44" s="837"/>
      <c r="AH44" s="837"/>
      <c r="AI44" s="837"/>
    </row>
    <row r="45" spans="1:35">
      <c r="P45" s="837"/>
      <c r="Q45" s="837"/>
      <c r="R45" s="837"/>
      <c r="S45" s="837"/>
      <c r="T45" s="837"/>
      <c r="U45" s="837"/>
      <c r="W45" s="837"/>
      <c r="X45" s="837"/>
      <c r="Y45" s="837"/>
      <c r="Z45" s="837"/>
      <c r="AA45" s="837"/>
      <c r="AB45" s="837"/>
      <c r="AC45" s="837"/>
      <c r="AD45" s="837"/>
      <c r="AE45" s="837"/>
      <c r="AF45" s="837"/>
      <c r="AG45" s="837"/>
      <c r="AH45" s="837"/>
      <c r="AI45" s="837"/>
    </row>
    <row r="46" spans="1:35">
      <c r="P46" s="837"/>
      <c r="Q46" s="837"/>
      <c r="R46" s="837"/>
      <c r="S46" s="837"/>
      <c r="T46" s="837"/>
      <c r="U46" s="837"/>
      <c r="W46" s="837"/>
      <c r="X46" s="837"/>
      <c r="Y46" s="837"/>
      <c r="Z46" s="837"/>
      <c r="AA46" s="837"/>
      <c r="AB46" s="837"/>
      <c r="AC46" s="837"/>
      <c r="AD46" s="837"/>
      <c r="AE46" s="837"/>
      <c r="AF46" s="837"/>
      <c r="AG46" s="837"/>
      <c r="AH46" s="837"/>
      <c r="AI46" s="837"/>
    </row>
    <row r="47" spans="1:35">
      <c r="P47" s="837"/>
      <c r="Q47" s="837"/>
      <c r="R47" s="837"/>
      <c r="S47" s="837"/>
      <c r="T47" s="837"/>
      <c r="U47" s="837"/>
      <c r="W47" s="837"/>
      <c r="X47" s="837"/>
      <c r="Y47" s="837"/>
      <c r="Z47" s="837"/>
      <c r="AA47" s="837"/>
      <c r="AB47" s="837"/>
      <c r="AC47" s="837"/>
      <c r="AD47" s="837"/>
      <c r="AE47" s="837"/>
      <c r="AF47" s="837"/>
      <c r="AG47" s="837"/>
      <c r="AH47" s="837"/>
      <c r="AI47" s="837"/>
    </row>
    <row r="48" spans="1:35">
      <c r="P48" s="837"/>
      <c r="Q48" s="837"/>
      <c r="R48" s="837"/>
      <c r="S48" s="837"/>
      <c r="T48" s="837"/>
      <c r="U48" s="837"/>
      <c r="W48" s="837"/>
      <c r="X48" s="837"/>
      <c r="Y48" s="837"/>
      <c r="Z48" s="837"/>
      <c r="AA48" s="837"/>
      <c r="AB48" s="837"/>
      <c r="AC48" s="837"/>
      <c r="AD48" s="837"/>
      <c r="AE48" s="837"/>
      <c r="AF48" s="837"/>
      <c r="AG48" s="837"/>
      <c r="AH48" s="837"/>
      <c r="AI48" s="837"/>
    </row>
    <row r="49" spans="16:35" s="769" customFormat="1">
      <c r="P49" s="837"/>
      <c r="Q49" s="837"/>
      <c r="R49" s="837"/>
      <c r="S49" s="837"/>
      <c r="T49" s="837"/>
      <c r="U49" s="837"/>
      <c r="V49" s="1"/>
      <c r="W49" s="837"/>
      <c r="X49" s="837"/>
      <c r="Y49" s="837"/>
      <c r="Z49" s="837"/>
      <c r="AA49" s="837"/>
      <c r="AB49" s="837"/>
      <c r="AC49" s="837"/>
      <c r="AD49" s="837"/>
      <c r="AE49" s="837"/>
      <c r="AF49" s="837"/>
      <c r="AG49" s="837"/>
      <c r="AH49" s="837"/>
      <c r="AI49" s="837"/>
    </row>
    <row r="50" spans="16:35" s="769" customFormat="1">
      <c r="P50" s="837"/>
      <c r="Q50" s="837"/>
      <c r="R50" s="837"/>
      <c r="S50" s="837"/>
      <c r="T50" s="837"/>
      <c r="U50" s="837"/>
      <c r="V50" s="1"/>
      <c r="W50" s="837"/>
      <c r="X50" s="837"/>
      <c r="Y50" s="837"/>
      <c r="Z50" s="837"/>
      <c r="AA50" s="837"/>
      <c r="AB50" s="837"/>
      <c r="AC50" s="837"/>
      <c r="AD50" s="837"/>
      <c r="AE50" s="837"/>
      <c r="AF50" s="837"/>
      <c r="AG50" s="837"/>
      <c r="AH50" s="837"/>
      <c r="AI50" s="837"/>
    </row>
    <row r="51" spans="16:35" s="769" customFormat="1">
      <c r="P51" s="837"/>
      <c r="Q51" s="837"/>
      <c r="R51" s="837"/>
      <c r="S51" s="837"/>
      <c r="T51" s="837"/>
      <c r="U51" s="837"/>
      <c r="V51" s="1"/>
      <c r="W51" s="837"/>
      <c r="X51" s="837"/>
      <c r="Y51" s="837"/>
      <c r="Z51" s="837"/>
      <c r="AA51" s="837"/>
      <c r="AB51" s="837"/>
      <c r="AC51" s="837"/>
      <c r="AD51" s="837"/>
      <c r="AE51" s="837"/>
      <c r="AF51" s="837"/>
      <c r="AG51" s="837"/>
      <c r="AH51" s="837"/>
      <c r="AI51" s="837"/>
    </row>
    <row r="52" spans="16:35" s="769" customFormat="1">
      <c r="P52" s="837"/>
      <c r="Q52" s="837"/>
      <c r="R52" s="837"/>
      <c r="S52" s="837"/>
      <c r="T52" s="837"/>
      <c r="U52" s="837"/>
      <c r="V52" s="1"/>
      <c r="W52" s="837"/>
      <c r="X52" s="837"/>
      <c r="Y52" s="837"/>
      <c r="Z52" s="837"/>
      <c r="AA52" s="837"/>
      <c r="AB52" s="837"/>
      <c r="AC52" s="837"/>
      <c r="AD52" s="837"/>
      <c r="AE52" s="837"/>
      <c r="AF52" s="837"/>
      <c r="AG52" s="837"/>
      <c r="AH52" s="837"/>
      <c r="AI52" s="837"/>
    </row>
    <row r="53" spans="16:35" s="769" customFormat="1">
      <c r="P53" s="837"/>
      <c r="Q53" s="837"/>
      <c r="R53" s="837"/>
      <c r="S53" s="837"/>
      <c r="T53" s="837"/>
      <c r="U53" s="837"/>
      <c r="V53" s="1"/>
      <c r="W53" s="837"/>
      <c r="X53" s="837"/>
      <c r="Y53" s="837"/>
      <c r="Z53" s="837"/>
      <c r="AA53" s="837"/>
      <c r="AB53" s="837"/>
      <c r="AC53" s="837"/>
      <c r="AD53" s="837"/>
      <c r="AE53" s="837"/>
      <c r="AF53" s="837"/>
      <c r="AG53" s="837"/>
      <c r="AH53" s="837"/>
      <c r="AI53" s="837"/>
    </row>
    <row r="54" spans="16:35" s="769" customFormat="1">
      <c r="P54" s="837"/>
      <c r="Q54" s="837"/>
      <c r="R54" s="837"/>
      <c r="S54" s="837"/>
      <c r="T54" s="837"/>
      <c r="U54" s="837"/>
      <c r="V54" s="1"/>
      <c r="W54" s="837"/>
      <c r="X54" s="837"/>
      <c r="Y54" s="837"/>
      <c r="Z54" s="837"/>
      <c r="AA54" s="837"/>
      <c r="AB54" s="837"/>
      <c r="AC54" s="837"/>
      <c r="AD54" s="837"/>
      <c r="AE54" s="837"/>
      <c r="AF54" s="837"/>
      <c r="AG54" s="837"/>
      <c r="AH54" s="837"/>
      <c r="AI54" s="837"/>
    </row>
    <row r="55" spans="16:35" s="769" customFormat="1">
      <c r="P55" s="837"/>
      <c r="Q55" s="837"/>
      <c r="R55" s="837"/>
      <c r="S55" s="837"/>
      <c r="T55" s="837"/>
      <c r="U55" s="837"/>
      <c r="V55" s="1"/>
      <c r="W55" s="837"/>
      <c r="X55" s="837"/>
      <c r="Y55" s="837"/>
      <c r="Z55" s="837"/>
      <c r="AA55" s="837"/>
      <c r="AB55" s="837"/>
      <c r="AC55" s="837"/>
      <c r="AD55" s="837"/>
      <c r="AE55" s="837"/>
      <c r="AF55" s="837"/>
      <c r="AG55" s="837"/>
      <c r="AH55" s="837"/>
      <c r="AI55" s="837"/>
    </row>
    <row r="56" spans="16:35" s="769" customFormat="1">
      <c r="P56" s="837"/>
      <c r="Q56" s="837"/>
      <c r="R56" s="837"/>
      <c r="S56" s="837"/>
      <c r="T56" s="837"/>
      <c r="U56" s="837"/>
      <c r="V56" s="1"/>
      <c r="W56" s="837"/>
      <c r="X56" s="837"/>
      <c r="Y56" s="837"/>
      <c r="Z56" s="837"/>
      <c r="AA56" s="837"/>
      <c r="AB56" s="837"/>
      <c r="AC56" s="837"/>
      <c r="AD56" s="837"/>
      <c r="AE56" s="837"/>
      <c r="AF56" s="837"/>
      <c r="AG56" s="837"/>
      <c r="AH56" s="837"/>
      <c r="AI56" s="837"/>
    </row>
    <row r="57" spans="16:35" s="769" customFormat="1">
      <c r="P57" s="837"/>
      <c r="Q57" s="837"/>
      <c r="R57" s="837"/>
      <c r="S57" s="837"/>
      <c r="T57" s="837"/>
      <c r="U57" s="837"/>
      <c r="V57" s="1"/>
      <c r="W57" s="837"/>
      <c r="X57" s="837"/>
      <c r="Y57" s="837"/>
      <c r="Z57" s="837"/>
      <c r="AA57" s="837"/>
      <c r="AB57" s="837"/>
      <c r="AC57" s="837"/>
      <c r="AD57" s="837"/>
      <c r="AE57" s="837"/>
      <c r="AF57" s="837"/>
      <c r="AG57" s="837"/>
      <c r="AH57" s="837"/>
      <c r="AI57" s="837"/>
    </row>
    <row r="58" spans="16:35" s="769" customFormat="1">
      <c r="P58" s="837"/>
      <c r="Q58" s="837"/>
      <c r="R58" s="837"/>
      <c r="S58" s="837"/>
      <c r="T58" s="837"/>
      <c r="U58" s="837"/>
      <c r="V58" s="1"/>
      <c r="W58" s="837"/>
      <c r="X58" s="837"/>
      <c r="Y58" s="837"/>
      <c r="Z58" s="837"/>
      <c r="AA58" s="837"/>
      <c r="AB58" s="837"/>
      <c r="AC58" s="837"/>
      <c r="AD58" s="837"/>
      <c r="AE58" s="837"/>
      <c r="AF58" s="837"/>
      <c r="AG58" s="837"/>
      <c r="AH58" s="837"/>
      <c r="AI58" s="837"/>
    </row>
    <row r="59" spans="16:35" s="769" customFormat="1">
      <c r="P59" s="837"/>
      <c r="Q59" s="837"/>
      <c r="R59" s="837"/>
      <c r="S59" s="837"/>
      <c r="T59" s="837"/>
      <c r="U59" s="837"/>
      <c r="V59" s="1"/>
      <c r="W59" s="837"/>
      <c r="X59" s="837"/>
      <c r="Y59" s="837"/>
      <c r="Z59" s="837"/>
      <c r="AA59" s="837"/>
      <c r="AB59" s="837"/>
      <c r="AC59" s="837"/>
      <c r="AD59" s="837"/>
      <c r="AE59" s="837"/>
      <c r="AF59" s="837"/>
      <c r="AG59" s="837"/>
      <c r="AH59" s="837"/>
      <c r="AI59" s="837"/>
    </row>
    <row r="60" spans="16:35" s="769" customFormat="1">
      <c r="P60" s="837"/>
      <c r="Q60" s="837"/>
      <c r="R60" s="837"/>
      <c r="S60" s="837"/>
      <c r="T60" s="837"/>
      <c r="U60" s="837"/>
      <c r="V60" s="1"/>
      <c r="W60" s="837"/>
      <c r="X60" s="837"/>
      <c r="Y60" s="837"/>
      <c r="Z60" s="837"/>
      <c r="AA60" s="837"/>
      <c r="AB60" s="837"/>
      <c r="AC60" s="837"/>
      <c r="AD60" s="837"/>
      <c r="AE60" s="837"/>
      <c r="AF60" s="837"/>
      <c r="AG60" s="837"/>
      <c r="AH60" s="837"/>
      <c r="AI60" s="837"/>
    </row>
    <row r="61" spans="16:35" s="769" customFormat="1">
      <c r="P61" s="837"/>
      <c r="Q61" s="837"/>
      <c r="R61" s="837"/>
      <c r="S61" s="837"/>
      <c r="T61" s="837"/>
      <c r="U61" s="837"/>
      <c r="V61" s="1"/>
      <c r="W61" s="837"/>
      <c r="X61" s="837"/>
      <c r="Y61" s="837"/>
      <c r="Z61" s="837"/>
      <c r="AA61" s="837"/>
      <c r="AB61" s="837"/>
      <c r="AC61" s="837"/>
      <c r="AD61" s="837"/>
      <c r="AE61" s="837"/>
      <c r="AF61" s="837"/>
      <c r="AG61" s="837"/>
      <c r="AH61" s="837"/>
      <c r="AI61" s="837"/>
    </row>
    <row r="62" spans="16:35" s="769" customFormat="1">
      <c r="P62" s="837"/>
      <c r="Q62" s="837"/>
      <c r="R62" s="837"/>
      <c r="S62" s="837"/>
      <c r="T62" s="837"/>
      <c r="U62" s="837"/>
      <c r="V62" s="1"/>
      <c r="W62" s="837"/>
      <c r="X62" s="837"/>
      <c r="Y62" s="837"/>
      <c r="Z62" s="837"/>
      <c r="AA62" s="837"/>
      <c r="AB62" s="837"/>
      <c r="AC62" s="837"/>
      <c r="AD62" s="837"/>
      <c r="AE62" s="837"/>
      <c r="AF62" s="837"/>
      <c r="AG62" s="837"/>
      <c r="AH62" s="837"/>
      <c r="AI62" s="837"/>
    </row>
    <row r="63" spans="16:35" s="769" customFormat="1">
      <c r="P63" s="837"/>
      <c r="Q63" s="837"/>
      <c r="R63" s="837"/>
      <c r="S63" s="837"/>
      <c r="T63" s="837"/>
      <c r="U63" s="837"/>
      <c r="V63" s="1"/>
      <c r="W63" s="837"/>
      <c r="X63" s="837"/>
      <c r="Y63" s="837"/>
      <c r="Z63" s="837"/>
      <c r="AA63" s="837"/>
      <c r="AB63" s="837"/>
      <c r="AC63" s="837"/>
      <c r="AD63" s="837"/>
      <c r="AE63" s="837"/>
      <c r="AF63" s="837"/>
      <c r="AG63" s="837"/>
      <c r="AH63" s="837"/>
      <c r="AI63" s="837"/>
    </row>
    <row r="64" spans="16:35" s="769" customFormat="1">
      <c r="P64" s="837"/>
      <c r="Q64" s="837"/>
      <c r="R64" s="837"/>
      <c r="S64" s="837"/>
      <c r="T64" s="837"/>
      <c r="U64" s="837"/>
      <c r="V64" s="1"/>
      <c r="W64" s="837"/>
      <c r="X64" s="837"/>
      <c r="Y64" s="837"/>
      <c r="Z64" s="837"/>
      <c r="AA64" s="837"/>
      <c r="AB64" s="837"/>
      <c r="AC64" s="837"/>
      <c r="AD64" s="837"/>
      <c r="AE64" s="837"/>
      <c r="AF64" s="837"/>
      <c r="AG64" s="837"/>
      <c r="AH64" s="837"/>
      <c r="AI64" s="837"/>
    </row>
    <row r="65" spans="16:35" s="769" customFormat="1">
      <c r="P65" s="837"/>
      <c r="Q65" s="837"/>
      <c r="R65" s="837"/>
      <c r="S65" s="837"/>
      <c r="T65" s="837"/>
      <c r="U65" s="837"/>
      <c r="V65" s="1"/>
      <c r="W65" s="837"/>
      <c r="X65" s="837"/>
      <c r="Y65" s="837"/>
      <c r="Z65" s="837"/>
      <c r="AA65" s="837"/>
      <c r="AB65" s="837"/>
      <c r="AC65" s="837"/>
      <c r="AD65" s="837"/>
      <c r="AE65" s="837"/>
      <c r="AF65" s="837"/>
      <c r="AG65" s="837"/>
      <c r="AH65" s="837"/>
      <c r="AI65" s="837"/>
    </row>
    <row r="66" spans="16:35" s="769" customFormat="1">
      <c r="P66" s="837"/>
      <c r="Q66" s="837"/>
      <c r="R66" s="837"/>
      <c r="S66" s="837"/>
      <c r="T66" s="837"/>
      <c r="U66" s="837"/>
      <c r="V66" s="1"/>
      <c r="W66" s="837"/>
      <c r="X66" s="837"/>
      <c r="Y66" s="837"/>
      <c r="Z66" s="837"/>
      <c r="AA66" s="837"/>
      <c r="AB66" s="837"/>
      <c r="AC66" s="837"/>
      <c r="AD66" s="837"/>
      <c r="AE66" s="837"/>
      <c r="AF66" s="837"/>
      <c r="AG66" s="837"/>
      <c r="AH66" s="837"/>
      <c r="AI66" s="837"/>
    </row>
    <row r="67" spans="16:35" s="769" customFormat="1">
      <c r="P67" s="837"/>
      <c r="Q67" s="837"/>
      <c r="R67" s="837"/>
      <c r="S67" s="837"/>
      <c r="T67" s="837"/>
      <c r="U67" s="837"/>
      <c r="V67" s="1"/>
      <c r="W67" s="837"/>
      <c r="X67" s="837"/>
      <c r="Y67" s="837"/>
      <c r="Z67" s="837"/>
      <c r="AA67" s="837"/>
      <c r="AB67" s="837"/>
      <c r="AC67" s="837"/>
      <c r="AD67" s="837"/>
      <c r="AE67" s="837"/>
      <c r="AF67" s="837"/>
      <c r="AG67" s="837"/>
      <c r="AH67" s="837"/>
      <c r="AI67" s="837"/>
    </row>
    <row r="68" spans="16:35" s="769" customFormat="1">
      <c r="P68" s="837"/>
      <c r="Q68" s="837"/>
      <c r="R68" s="837"/>
      <c r="S68" s="837"/>
      <c r="T68" s="837"/>
      <c r="U68" s="837"/>
      <c r="V68" s="1"/>
      <c r="W68" s="837"/>
      <c r="X68" s="837"/>
      <c r="Y68" s="837"/>
      <c r="Z68" s="837"/>
      <c r="AA68" s="837"/>
      <c r="AB68" s="837"/>
      <c r="AC68" s="837"/>
      <c r="AD68" s="837"/>
      <c r="AE68" s="837"/>
      <c r="AF68" s="837"/>
      <c r="AG68" s="837"/>
      <c r="AH68" s="837"/>
      <c r="AI68" s="837"/>
    </row>
    <row r="69" spans="16:35" s="769" customFormat="1">
      <c r="P69" s="837"/>
      <c r="Q69" s="837"/>
      <c r="R69" s="837"/>
      <c r="S69" s="837"/>
      <c r="T69" s="837"/>
      <c r="U69" s="837"/>
      <c r="V69" s="1"/>
      <c r="W69" s="837"/>
      <c r="X69" s="837"/>
      <c r="Y69" s="837"/>
      <c r="Z69" s="837"/>
      <c r="AA69" s="837"/>
      <c r="AB69" s="837"/>
      <c r="AC69" s="837"/>
      <c r="AD69" s="837"/>
      <c r="AE69" s="837"/>
      <c r="AF69" s="837"/>
      <c r="AG69" s="837"/>
      <c r="AH69" s="837"/>
      <c r="AI69" s="837"/>
    </row>
    <row r="70" spans="16:35" s="769" customFormat="1">
      <c r="P70" s="837"/>
      <c r="Q70" s="837"/>
      <c r="R70" s="837"/>
      <c r="S70" s="837"/>
      <c r="T70" s="837"/>
      <c r="U70" s="837"/>
      <c r="V70" s="1"/>
      <c r="W70" s="837"/>
      <c r="X70" s="837"/>
      <c r="Y70" s="837"/>
      <c r="Z70" s="837"/>
      <c r="AA70" s="837"/>
      <c r="AB70" s="837"/>
      <c r="AC70" s="837"/>
      <c r="AD70" s="837"/>
      <c r="AE70" s="837"/>
      <c r="AF70" s="837"/>
      <c r="AG70" s="837"/>
      <c r="AH70" s="837"/>
      <c r="AI70" s="837"/>
    </row>
    <row r="71" spans="16:35" s="769" customFormat="1">
      <c r="P71" s="837"/>
      <c r="Q71" s="837"/>
      <c r="R71" s="837"/>
      <c r="S71" s="837"/>
      <c r="T71" s="837"/>
      <c r="U71" s="837"/>
      <c r="V71" s="1"/>
      <c r="W71" s="837"/>
      <c r="X71" s="837"/>
      <c r="Y71" s="837"/>
      <c r="Z71" s="837"/>
      <c r="AA71" s="837"/>
      <c r="AB71" s="837"/>
      <c r="AC71" s="837"/>
      <c r="AD71" s="837"/>
      <c r="AE71" s="837"/>
      <c r="AF71" s="837"/>
      <c r="AG71" s="837"/>
      <c r="AH71" s="837"/>
      <c r="AI71" s="837"/>
    </row>
    <row r="72" spans="16:35" s="769" customFormat="1">
      <c r="P72" s="837"/>
      <c r="Q72" s="837"/>
      <c r="R72" s="837"/>
      <c r="S72" s="837"/>
      <c r="T72" s="837"/>
      <c r="U72" s="837"/>
      <c r="V72" s="1"/>
      <c r="W72" s="837"/>
      <c r="X72" s="837"/>
      <c r="Y72" s="837"/>
      <c r="Z72" s="837"/>
      <c r="AA72" s="837"/>
      <c r="AB72" s="837"/>
      <c r="AC72" s="837"/>
      <c r="AD72" s="837"/>
      <c r="AE72" s="837"/>
      <c r="AF72" s="837"/>
      <c r="AG72" s="837"/>
      <c r="AH72" s="837"/>
      <c r="AI72" s="837"/>
    </row>
    <row r="73" spans="16:35" s="769" customFormat="1">
      <c r="P73" s="837"/>
      <c r="Q73" s="837"/>
      <c r="R73" s="837"/>
      <c r="S73" s="837"/>
      <c r="T73" s="837"/>
      <c r="U73" s="837"/>
      <c r="V73" s="1"/>
      <c r="W73" s="837"/>
      <c r="X73" s="837"/>
      <c r="Y73" s="837"/>
      <c r="Z73" s="837"/>
      <c r="AA73" s="837"/>
      <c r="AB73" s="837"/>
      <c r="AC73" s="837"/>
      <c r="AD73" s="837"/>
      <c r="AE73" s="837"/>
      <c r="AF73" s="837"/>
      <c r="AG73" s="837"/>
      <c r="AH73" s="837"/>
      <c r="AI73" s="837"/>
    </row>
    <row r="74" spans="16:35" s="769" customFormat="1">
      <c r="P74" s="837"/>
      <c r="Q74" s="837"/>
      <c r="R74" s="837"/>
      <c r="S74" s="837"/>
      <c r="T74" s="837"/>
      <c r="U74" s="837"/>
      <c r="V74" s="1"/>
      <c r="W74" s="837"/>
      <c r="X74" s="837"/>
      <c r="Y74" s="837"/>
      <c r="Z74" s="837"/>
      <c r="AA74" s="837"/>
      <c r="AB74" s="837"/>
      <c r="AC74" s="837"/>
      <c r="AD74" s="837"/>
      <c r="AE74" s="837"/>
      <c r="AF74" s="837"/>
      <c r="AG74" s="837"/>
      <c r="AH74" s="837"/>
      <c r="AI74" s="837"/>
    </row>
    <row r="75" spans="16:35" s="769" customFormat="1">
      <c r="P75" s="837"/>
      <c r="Q75" s="837"/>
      <c r="R75" s="837"/>
      <c r="S75" s="837"/>
      <c r="T75" s="837"/>
      <c r="U75" s="837"/>
      <c r="V75" s="1"/>
      <c r="W75" s="837"/>
      <c r="X75" s="837"/>
      <c r="Y75" s="837"/>
      <c r="Z75" s="837"/>
      <c r="AA75" s="837"/>
      <c r="AB75" s="837"/>
      <c r="AC75" s="837"/>
      <c r="AD75" s="837"/>
      <c r="AE75" s="837"/>
      <c r="AF75" s="837"/>
      <c r="AG75" s="837"/>
      <c r="AH75" s="837"/>
      <c r="AI75" s="837"/>
    </row>
    <row r="76" spans="16:35" s="769" customFormat="1">
      <c r="P76" s="837"/>
      <c r="Q76" s="837"/>
      <c r="R76" s="837"/>
      <c r="S76" s="837"/>
      <c r="T76" s="837"/>
      <c r="U76" s="837"/>
      <c r="V76" s="1"/>
      <c r="W76" s="837"/>
      <c r="X76" s="837"/>
      <c r="Y76" s="837"/>
      <c r="Z76" s="837"/>
      <c r="AA76" s="837"/>
      <c r="AB76" s="837"/>
      <c r="AC76" s="837"/>
      <c r="AD76" s="837"/>
      <c r="AE76" s="837"/>
      <c r="AF76" s="837"/>
      <c r="AG76" s="837"/>
      <c r="AH76" s="837"/>
      <c r="AI76" s="837"/>
    </row>
    <row r="77" spans="16:35" s="769" customFormat="1">
      <c r="P77" s="837"/>
      <c r="Q77" s="837"/>
      <c r="R77" s="837"/>
      <c r="S77" s="837"/>
      <c r="T77" s="837"/>
      <c r="U77" s="837"/>
      <c r="V77" s="1"/>
      <c r="W77" s="837"/>
      <c r="X77" s="837"/>
      <c r="Y77" s="837"/>
      <c r="Z77" s="837"/>
      <c r="AA77" s="837"/>
      <c r="AB77" s="837"/>
      <c r="AC77" s="837"/>
      <c r="AD77" s="837"/>
      <c r="AE77" s="837"/>
      <c r="AF77" s="837"/>
      <c r="AG77" s="837"/>
      <c r="AH77" s="837"/>
      <c r="AI77" s="837"/>
    </row>
    <row r="78" spans="16:35" s="769" customFormat="1">
      <c r="P78" s="837"/>
      <c r="Q78" s="837"/>
      <c r="R78" s="837"/>
      <c r="S78" s="837"/>
      <c r="T78" s="837"/>
      <c r="U78" s="837"/>
      <c r="V78" s="1"/>
      <c r="W78" s="837"/>
      <c r="X78" s="837"/>
      <c r="Y78" s="837"/>
      <c r="Z78" s="837"/>
      <c r="AA78" s="837"/>
      <c r="AB78" s="837"/>
      <c r="AC78" s="837"/>
      <c r="AD78" s="837"/>
      <c r="AE78" s="837"/>
      <c r="AF78" s="837"/>
      <c r="AG78" s="837"/>
      <c r="AH78" s="837"/>
      <c r="AI78" s="837"/>
    </row>
    <row r="79" spans="16:35" s="769" customFormat="1">
      <c r="P79" s="837"/>
      <c r="Q79" s="837"/>
      <c r="R79" s="837"/>
      <c r="S79" s="837"/>
      <c r="T79" s="837"/>
      <c r="U79" s="837"/>
      <c r="V79" s="1"/>
      <c r="W79" s="837"/>
      <c r="X79" s="837"/>
      <c r="Y79" s="837"/>
      <c r="Z79" s="837"/>
      <c r="AA79" s="837"/>
      <c r="AB79" s="837"/>
      <c r="AC79" s="837"/>
      <c r="AD79" s="837"/>
      <c r="AE79" s="837"/>
      <c r="AF79" s="837"/>
      <c r="AG79" s="837"/>
      <c r="AH79" s="837"/>
      <c r="AI79" s="837"/>
    </row>
    <row r="80" spans="16:35" s="769" customFormat="1">
      <c r="P80" s="837"/>
      <c r="Q80" s="837"/>
      <c r="R80" s="837"/>
      <c r="S80" s="837"/>
      <c r="T80" s="837"/>
      <c r="U80" s="837"/>
      <c r="V80" s="1"/>
      <c r="W80" s="837"/>
      <c r="X80" s="837"/>
      <c r="Y80" s="837"/>
      <c r="Z80" s="837"/>
      <c r="AA80" s="837"/>
      <c r="AB80" s="837"/>
      <c r="AC80" s="837"/>
      <c r="AD80" s="837"/>
      <c r="AE80" s="837"/>
      <c r="AF80" s="837"/>
      <c r="AG80" s="837"/>
      <c r="AH80" s="837"/>
      <c r="AI80" s="837"/>
    </row>
    <row r="81" spans="16:35" s="769" customFormat="1">
      <c r="P81" s="837"/>
      <c r="Q81" s="837"/>
      <c r="R81" s="837"/>
      <c r="S81" s="837"/>
      <c r="T81" s="837"/>
      <c r="U81" s="837"/>
      <c r="V81" s="1"/>
      <c r="W81" s="837"/>
      <c r="X81" s="837"/>
      <c r="Y81" s="837"/>
      <c r="Z81" s="837"/>
      <c r="AA81" s="837"/>
      <c r="AB81" s="837"/>
      <c r="AC81" s="837"/>
      <c r="AD81" s="837"/>
      <c r="AE81" s="837"/>
      <c r="AF81" s="837"/>
      <c r="AG81" s="837"/>
      <c r="AH81" s="837"/>
      <c r="AI81" s="837"/>
    </row>
    <row r="82" spans="16:35" s="769" customFormat="1">
      <c r="P82" s="837"/>
      <c r="Q82" s="837"/>
      <c r="R82" s="837"/>
      <c r="S82" s="837"/>
      <c r="T82" s="837"/>
      <c r="U82" s="837"/>
      <c r="V82" s="1"/>
      <c r="W82" s="837"/>
      <c r="X82" s="837"/>
      <c r="Y82" s="837"/>
      <c r="Z82" s="837"/>
      <c r="AA82" s="837"/>
      <c r="AB82" s="837"/>
      <c r="AC82" s="837"/>
      <c r="AD82" s="837"/>
      <c r="AE82" s="837"/>
      <c r="AF82" s="837"/>
      <c r="AG82" s="837"/>
      <c r="AH82" s="837"/>
      <c r="AI82" s="837"/>
    </row>
    <row r="83" spans="16:35" s="769" customFormat="1">
      <c r="P83" s="837"/>
      <c r="Q83" s="837"/>
      <c r="R83" s="837"/>
      <c r="S83" s="837"/>
      <c r="T83" s="837"/>
      <c r="U83" s="837"/>
      <c r="V83" s="1"/>
      <c r="W83" s="837"/>
      <c r="X83" s="837"/>
      <c r="Y83" s="837"/>
      <c r="Z83" s="837"/>
      <c r="AA83" s="837"/>
      <c r="AB83" s="837"/>
      <c r="AC83" s="837"/>
      <c r="AD83" s="837"/>
      <c r="AE83" s="837"/>
      <c r="AF83" s="837"/>
      <c r="AG83" s="837"/>
      <c r="AH83" s="837"/>
      <c r="AI83" s="837"/>
    </row>
    <row r="84" spans="16:35" s="769" customFormat="1">
      <c r="P84" s="837"/>
      <c r="Q84" s="837"/>
      <c r="R84" s="837"/>
      <c r="S84" s="837"/>
      <c r="T84" s="837"/>
      <c r="U84" s="837"/>
      <c r="V84" s="1"/>
      <c r="W84" s="837"/>
      <c r="X84" s="837"/>
      <c r="Y84" s="837"/>
      <c r="Z84" s="837"/>
      <c r="AA84" s="837"/>
      <c r="AB84" s="837"/>
      <c r="AC84" s="837"/>
      <c r="AD84" s="837"/>
      <c r="AE84" s="837"/>
      <c r="AF84" s="837"/>
      <c r="AG84" s="837"/>
      <c r="AH84" s="837"/>
      <c r="AI84" s="837"/>
    </row>
    <row r="85" spans="16:35" s="769" customFormat="1">
      <c r="P85" s="837"/>
      <c r="Q85" s="837"/>
      <c r="R85" s="837"/>
      <c r="S85" s="837"/>
      <c r="T85" s="837"/>
      <c r="U85" s="837"/>
      <c r="V85" s="1"/>
      <c r="W85" s="837"/>
      <c r="X85" s="837"/>
      <c r="Y85" s="837"/>
      <c r="Z85" s="837"/>
      <c r="AA85" s="837"/>
      <c r="AB85" s="837"/>
      <c r="AC85" s="837"/>
      <c r="AD85" s="837"/>
      <c r="AE85" s="837"/>
      <c r="AF85" s="837"/>
      <c r="AG85" s="837"/>
      <c r="AH85" s="837"/>
      <c r="AI85" s="837"/>
    </row>
    <row r="86" spans="16:35" s="769" customFormat="1">
      <c r="P86" s="837"/>
      <c r="Q86" s="837"/>
      <c r="R86" s="837"/>
      <c r="S86" s="837"/>
      <c r="T86" s="837"/>
      <c r="U86" s="837"/>
      <c r="V86" s="1"/>
      <c r="W86" s="837"/>
      <c r="X86" s="837"/>
      <c r="Y86" s="837"/>
      <c r="Z86" s="837"/>
      <c r="AA86" s="837"/>
      <c r="AB86" s="837"/>
      <c r="AC86" s="837"/>
      <c r="AD86" s="837"/>
      <c r="AE86" s="837"/>
      <c r="AF86" s="837"/>
      <c r="AG86" s="837"/>
      <c r="AH86" s="837"/>
      <c r="AI86" s="837"/>
    </row>
    <row r="87" spans="16:35" s="769" customFormat="1">
      <c r="P87" s="837"/>
      <c r="Q87" s="837"/>
      <c r="R87" s="837"/>
      <c r="S87" s="837"/>
      <c r="T87" s="837"/>
      <c r="U87" s="837"/>
      <c r="V87" s="1"/>
      <c r="W87" s="837"/>
      <c r="X87" s="837"/>
      <c r="Y87" s="837"/>
      <c r="Z87" s="837"/>
      <c r="AA87" s="837"/>
      <c r="AB87" s="837"/>
      <c r="AC87" s="837"/>
      <c r="AD87" s="837"/>
      <c r="AE87" s="837"/>
      <c r="AF87" s="837"/>
      <c r="AG87" s="837"/>
      <c r="AH87" s="837"/>
      <c r="AI87" s="837"/>
    </row>
    <row r="88" spans="16:35" s="769" customFormat="1">
      <c r="P88" s="837"/>
      <c r="Q88" s="837"/>
      <c r="R88" s="837"/>
      <c r="S88" s="837"/>
      <c r="T88" s="837"/>
      <c r="U88" s="837"/>
      <c r="V88" s="1"/>
      <c r="W88" s="837"/>
      <c r="X88" s="837"/>
      <c r="Y88" s="837"/>
      <c r="Z88" s="837"/>
      <c r="AA88" s="837"/>
      <c r="AB88" s="837"/>
      <c r="AC88" s="837"/>
      <c r="AD88" s="837"/>
      <c r="AE88" s="837"/>
      <c r="AF88" s="837"/>
      <c r="AG88" s="837"/>
      <c r="AH88" s="837"/>
      <c r="AI88" s="837"/>
    </row>
    <row r="89" spans="16:35" s="769" customFormat="1">
      <c r="P89" s="837"/>
      <c r="Q89" s="837"/>
      <c r="R89" s="837"/>
      <c r="S89" s="837"/>
      <c r="T89" s="837"/>
      <c r="U89" s="837"/>
      <c r="V89" s="1"/>
      <c r="W89" s="837"/>
      <c r="X89" s="837"/>
      <c r="Y89" s="837"/>
      <c r="Z89" s="837"/>
      <c r="AA89" s="837"/>
      <c r="AB89" s="837"/>
      <c r="AC89" s="837"/>
      <c r="AD89" s="837"/>
      <c r="AE89" s="837"/>
      <c r="AF89" s="837"/>
      <c r="AG89" s="837"/>
      <c r="AH89" s="837"/>
      <c r="AI89" s="837"/>
    </row>
  </sheetData>
  <customSheetViews>
    <customSheetView guid="{9C153D9E-615C-443B-9CD7-551163282F03}" scale="180" showPageBreaks="1" printArea="1" view="pageBreakPreview" topLeftCell="P4">
      <selection activeCell="V5" sqref="V5:V18"/>
      <colBreaks count="1" manualBreakCount="1">
        <brk id="10" max="39" man="1"/>
      </colBreaks>
      <pageMargins left="0" right="0" top="0" bottom="0" header="0" footer="0"/>
      <pageSetup firstPageNumber="22" orientation="landscape" r:id="rId1"/>
      <headerFooter>
        <oddFooter>&amp;C&amp;P</oddFooter>
      </headerFooter>
    </customSheetView>
    <customSheetView guid="{BE9F68F7-D81B-4526-9959-D871EC50BDFF}" scale="180" showPageBreaks="1" printArea="1" view="pageBreakPreview" topLeftCell="P4">
      <selection activeCell="V5" sqref="V5:V18"/>
      <colBreaks count="1" manualBreakCount="1">
        <brk id="10" max="39" man="1"/>
      </colBreaks>
      <pageMargins left="0" right="0" top="0" bottom="0" header="0" footer="0"/>
      <pageSetup firstPageNumber="22" orientation="landscape" r:id="rId2"/>
      <headerFooter>
        <oddFooter>&amp;C&amp;P</oddFooter>
      </headerFooter>
    </customSheetView>
    <customSheetView guid="{EF790C5B-80DA-4544-9EB7-EFE0323B2298}" scale="180" showPageBreaks="1" printArea="1" view="pageBreakPreview" topLeftCell="N1">
      <selection activeCell="AE13" sqref="AE13:AF14"/>
      <colBreaks count="1" manualBreakCount="1">
        <brk id="10" max="39" man="1"/>
      </colBreaks>
      <pageMargins left="0" right="0" top="0" bottom="0" header="0" footer="0"/>
      <pageSetup firstPageNumber="22" orientation="landscape" r:id="rId3"/>
      <headerFooter>
        <oddFooter>&amp;C&amp;P</oddFooter>
      </headerFooter>
    </customSheetView>
    <customSheetView guid="{C9D2DBB1-CD01-4732-8C86-64BE16C94753}" scale="120" showPageBreaks="1" printArea="1" view="pageBreakPreview">
      <selection activeCell="A4" sqref="A4:A25"/>
      <colBreaks count="1" manualBreakCount="1">
        <brk id="10" max="39" man="1"/>
      </colBreaks>
      <pageMargins left="0" right="0" top="0" bottom="0" header="0" footer="0"/>
      <pageSetup firstPageNumber="22" orientation="landscape" r:id="rId4"/>
      <headerFooter>
        <oddFooter>&amp;C&amp;P</oddFooter>
      </headerFooter>
    </customSheetView>
    <customSheetView guid="{BFEC163F-7C4E-49B7-9F32-15225772E72F}" scale="120" showPageBreaks="1" printArea="1" view="pageBreakPreview">
      <selection activeCell="K2" sqref="K2"/>
      <colBreaks count="1" manualBreakCount="1">
        <brk id="10" max="39" man="1"/>
      </colBreaks>
      <pageMargins left="0" right="0" top="0" bottom="0" header="0" footer="0"/>
      <pageSetup firstPageNumber="22" orientation="landscape" r:id="rId5"/>
      <headerFooter>
        <oddFooter>&amp;C&amp;P</oddFooter>
      </headerFooter>
    </customSheetView>
    <customSheetView guid="{5529DB6B-163A-4048-9107-267B30B97DF3}" scale="120" showPageBreaks="1" printArea="1" view="pageBreakPreview" topLeftCell="F1">
      <selection activeCell="J18" sqref="J18"/>
      <colBreaks count="1" manualBreakCount="1">
        <brk id="10" max="39" man="1"/>
      </colBreaks>
      <pageMargins left="0" right="0" top="0" bottom="0" header="0" footer="0"/>
      <pageSetup firstPageNumber="22" orientation="landscape" r:id="rId6"/>
      <headerFooter>
        <oddFooter>&amp;C&amp;P</oddFooter>
      </headerFooter>
    </customSheetView>
    <customSheetView guid="{9B0763AA-FA4B-479A-900C-C113E8BEEFEB}" scale="120" showPageBreaks="1" printArea="1" view="pageBreakPreview" topLeftCell="F1">
      <selection activeCell="J18" sqref="J18"/>
      <colBreaks count="1" manualBreakCount="1">
        <brk id="10" max="39" man="1"/>
      </colBreaks>
      <pageMargins left="0" right="0" top="0" bottom="0" header="0" footer="0"/>
      <pageSetup firstPageNumber="22" orientation="landscape" r:id="rId7"/>
      <headerFooter>
        <oddFooter>&amp;C&amp;P</oddFooter>
      </headerFooter>
    </customSheetView>
    <customSheetView guid="{89903799-8228-4A6D-8A81-7F80BC61226D}" scale="180" showPageBreaks="1" printArea="1" view="pageBreakPreview" topLeftCell="P4">
      <selection activeCell="V5" sqref="V5:V18"/>
      <colBreaks count="1" manualBreakCount="1">
        <brk id="10" max="39" man="1"/>
      </colBreaks>
      <pageMargins left="0" right="0" top="0" bottom="0" header="0" footer="0"/>
      <pageSetup firstPageNumber="22" orientation="landscape" r:id="rId8"/>
      <headerFooter>
        <oddFooter>&amp;C&amp;P</oddFooter>
      </headerFooter>
    </customSheetView>
    <customSheetView guid="{2524630E-605A-4616-AD5D-6CF7B1E9752C}" scale="180" showPageBreaks="1" printArea="1" view="pageBreakPreview" topLeftCell="N1">
      <selection activeCell="AE13" sqref="AE13:AF14"/>
      <colBreaks count="1" manualBreakCount="1">
        <brk id="10" max="39" man="1"/>
      </colBreaks>
      <pageMargins left="0" right="0" top="0" bottom="0" header="0" footer="0"/>
      <pageSetup firstPageNumber="22" orientation="landscape" r:id="rId9"/>
      <headerFooter>
        <oddFooter>&amp;C&amp;P</oddFooter>
      </headerFooter>
    </customSheetView>
  </customSheetViews>
  <mergeCells count="46">
    <mergeCell ref="AI5:AI13"/>
    <mergeCell ref="AG24:AG25"/>
    <mergeCell ref="A4:A25"/>
    <mergeCell ref="P4:R4"/>
    <mergeCell ref="W4:Y4"/>
    <mergeCell ref="AC4:AD4"/>
    <mergeCell ref="AE4:AF4"/>
    <mergeCell ref="B5:C13"/>
    <mergeCell ref="D5:E10"/>
    <mergeCell ref="F5:F8"/>
    <mergeCell ref="G5:G13"/>
    <mergeCell ref="H5:H13"/>
    <mergeCell ref="AE5:AG7"/>
    <mergeCell ref="Q10:U11"/>
    <mergeCell ref="X10:AB11"/>
    <mergeCell ref="I5:I12"/>
    <mergeCell ref="J5:J8"/>
    <mergeCell ref="AC14:AD14"/>
    <mergeCell ref="S24:U25"/>
    <mergeCell ref="W24:Y25"/>
    <mergeCell ref="Z24:AB25"/>
    <mergeCell ref="K4:K25"/>
    <mergeCell ref="L5:N8"/>
    <mergeCell ref="J20:J21"/>
    <mergeCell ref="AE24:AF25"/>
    <mergeCell ref="AC25:AD25"/>
    <mergeCell ref="AC15:AD17"/>
    <mergeCell ref="V5:V18"/>
    <mergeCell ref="W5:AB8"/>
    <mergeCell ref="AC5:AD13"/>
    <mergeCell ref="AH5:AH25"/>
    <mergeCell ref="B16:C22"/>
    <mergeCell ref="D16:E23"/>
    <mergeCell ref="L17:N21"/>
    <mergeCell ref="O19:O20"/>
    <mergeCell ref="V21:V22"/>
    <mergeCell ref="N23:N25"/>
    <mergeCell ref="L25:M25"/>
    <mergeCell ref="P24:R25"/>
    <mergeCell ref="F15:F17"/>
    <mergeCell ref="F11:F12"/>
    <mergeCell ref="Q12:U13"/>
    <mergeCell ref="X12:AB13"/>
    <mergeCell ref="J14:J15"/>
    <mergeCell ref="O5:O17"/>
    <mergeCell ref="P5:U8"/>
  </mergeCells>
  <pageMargins left="0.314" right="0.314" top="0.11799999999999999" bottom="0.27500000000000002" header="0.157" footer="0.11799999999999999"/>
  <pageSetup scale="96" firstPageNumber="22" orientation="landscape" r:id="rId10"/>
  <headerFooter>
    <oddFooter>&amp;C&amp;P</oddFooter>
  </headerFooter>
  <colBreaks count="1" manualBreakCount="1">
    <brk id="10" max="39"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4"/>
  <sheetViews>
    <sheetView view="pageBreakPreview" topLeftCell="B1" zoomScale="110" zoomScaleNormal="100" zoomScaleSheetLayoutView="110" zoomScalePageLayoutView="90" workbookViewId="0">
      <selection activeCell="B5" sqref="B5:J20"/>
    </sheetView>
  </sheetViews>
  <sheetFormatPr defaultColWidth="9.140625" defaultRowHeight="13.5"/>
  <cols>
    <col min="1" max="1" width="3.42578125" style="269" customWidth="1"/>
    <col min="2" max="2" width="9.7109375" style="269" customWidth="1"/>
    <col min="3" max="10" width="14.7109375" style="528" customWidth="1"/>
    <col min="11" max="11" width="3.42578125" style="269" customWidth="1"/>
    <col min="12" max="13" width="22.42578125" style="528" customWidth="1"/>
    <col min="14" max="14" width="19.5703125" style="528" customWidth="1"/>
    <col min="15" max="15" width="24.28515625" style="528" customWidth="1"/>
    <col min="16" max="16" width="21.140625" style="528" customWidth="1"/>
    <col min="17" max="17" width="27.28515625" style="528" customWidth="1"/>
    <col min="18" max="16384" width="9.140625" style="271"/>
  </cols>
  <sheetData>
    <row r="1" spans="1:17" ht="12.75">
      <c r="A1" s="527" t="s">
        <v>960</v>
      </c>
      <c r="B1" s="527"/>
      <c r="E1" s="529"/>
      <c r="F1" s="529"/>
      <c r="G1" s="529"/>
      <c r="H1" s="529"/>
      <c r="I1" s="529"/>
      <c r="J1" s="529"/>
      <c r="K1" s="527" t="s">
        <v>960</v>
      </c>
      <c r="L1" s="529"/>
      <c r="M1" s="529"/>
      <c r="N1" s="529"/>
      <c r="O1" s="529"/>
      <c r="P1" s="529"/>
      <c r="Q1" s="529"/>
    </row>
    <row r="2" spans="1:17" ht="12.75">
      <c r="A2" s="527"/>
      <c r="B2" s="527"/>
      <c r="C2" s="529"/>
      <c r="D2" s="529"/>
      <c r="E2" s="529"/>
      <c r="F2" s="529"/>
      <c r="G2" s="529"/>
      <c r="H2" s="529"/>
      <c r="I2" s="529"/>
      <c r="J2" s="529"/>
      <c r="K2" s="527"/>
      <c r="L2" s="529"/>
      <c r="M2" s="529"/>
      <c r="N2" s="529"/>
      <c r="O2" s="529"/>
      <c r="P2" s="529"/>
      <c r="Q2" s="529"/>
    </row>
    <row r="3" spans="1:17" ht="13.5" customHeight="1">
      <c r="A3" s="530"/>
      <c r="B3" s="530"/>
      <c r="C3" s="531"/>
      <c r="D3" s="531"/>
      <c r="E3" s="531"/>
      <c r="F3" s="531"/>
      <c r="G3" s="531"/>
      <c r="H3" s="531"/>
      <c r="I3" s="531"/>
      <c r="J3" s="529"/>
      <c r="K3" s="530"/>
    </row>
    <row r="4" spans="1:17" ht="13.5" customHeight="1">
      <c r="A4" s="2477" t="s">
        <v>187</v>
      </c>
      <c r="B4" s="1553">
        <v>5</v>
      </c>
      <c r="C4" s="1554">
        <f>B4+0.01</f>
        <v>5.01</v>
      </c>
      <c r="D4" s="1554">
        <f>C4+0.01</f>
        <v>5.0199999999999996</v>
      </c>
      <c r="E4" s="1554">
        <f t="shared" ref="E4:P4" si="0">D4+0.01</f>
        <v>5.0299999999999994</v>
      </c>
      <c r="F4" s="1554">
        <f t="shared" si="0"/>
        <v>5.0399999999999991</v>
      </c>
      <c r="G4" s="1554">
        <f t="shared" si="0"/>
        <v>5.0499999999999989</v>
      </c>
      <c r="H4" s="1554">
        <f t="shared" si="0"/>
        <v>5.0599999999999987</v>
      </c>
      <c r="I4" s="2054">
        <f t="shared" si="0"/>
        <v>5.0699999999999985</v>
      </c>
      <c r="J4" s="2054">
        <f t="shared" si="0"/>
        <v>5.0799999999999983</v>
      </c>
      <c r="K4" s="2511" t="s">
        <v>187</v>
      </c>
      <c r="L4" s="2054">
        <f>J4+0.01</f>
        <v>5.0899999999999981</v>
      </c>
      <c r="M4" s="2054">
        <f t="shared" si="0"/>
        <v>5.0999999999999979</v>
      </c>
      <c r="N4" s="2054">
        <f>M4+0.01</f>
        <v>5.1099999999999977</v>
      </c>
      <c r="O4" s="2054">
        <f t="shared" si="0"/>
        <v>5.1199999999999974</v>
      </c>
      <c r="P4" s="2055">
        <f t="shared" si="0"/>
        <v>5.1299999999999972</v>
      </c>
      <c r="Q4" s="2054">
        <f>P4+0.01</f>
        <v>5.139999999999997</v>
      </c>
    </row>
    <row r="5" spans="1:17" ht="12.75" customHeight="1">
      <c r="A5" s="2478"/>
      <c r="B5" s="2514" t="s">
        <v>961</v>
      </c>
      <c r="C5" s="2509" t="s">
        <v>962</v>
      </c>
      <c r="D5" s="2509" t="s">
        <v>963</v>
      </c>
      <c r="E5" s="2510" t="s">
        <v>964</v>
      </c>
      <c r="F5" s="2509" t="s">
        <v>965</v>
      </c>
      <c r="G5" s="2400" t="s">
        <v>966</v>
      </c>
      <c r="H5" s="2509" t="s">
        <v>967</v>
      </c>
      <c r="I5" s="2507" t="s">
        <v>968</v>
      </c>
      <c r="J5" s="2505" t="s">
        <v>969</v>
      </c>
      <c r="K5" s="2512"/>
      <c r="L5" s="2507" t="s">
        <v>970</v>
      </c>
      <c r="M5" s="2505" t="s">
        <v>971</v>
      </c>
      <c r="N5" s="2507" t="s">
        <v>972</v>
      </c>
      <c r="O5" s="2505" t="s">
        <v>973</v>
      </c>
      <c r="P5" s="2507" t="s">
        <v>974</v>
      </c>
      <c r="Q5" s="2505" t="s">
        <v>975</v>
      </c>
    </row>
    <row r="6" spans="1:17" ht="12.75" customHeight="1">
      <c r="A6" s="2478"/>
      <c r="B6" s="2515"/>
      <c r="C6" s="2231"/>
      <c r="D6" s="2231"/>
      <c r="E6" s="2256"/>
      <c r="F6" s="2231"/>
      <c r="G6" s="2257"/>
      <c r="H6" s="2231"/>
      <c r="I6" s="2508"/>
      <c r="J6" s="2506"/>
      <c r="K6" s="2512"/>
      <c r="L6" s="2508"/>
      <c r="M6" s="2506"/>
      <c r="N6" s="2508"/>
      <c r="O6" s="2506"/>
      <c r="P6" s="2508"/>
      <c r="Q6" s="2506"/>
    </row>
    <row r="7" spans="1:17" ht="12.75" customHeight="1">
      <c r="A7" s="2478"/>
      <c r="B7" s="2515"/>
      <c r="C7" s="2231"/>
      <c r="D7" s="2231"/>
      <c r="E7" s="2256"/>
      <c r="F7" s="2231"/>
      <c r="G7" s="2257"/>
      <c r="H7" s="2231"/>
      <c r="I7" s="2508"/>
      <c r="J7" s="2506"/>
      <c r="K7" s="2512"/>
      <c r="L7" s="2508"/>
      <c r="M7" s="2506"/>
      <c r="N7" s="2508"/>
      <c r="O7" s="2506"/>
      <c r="P7" s="2508"/>
      <c r="Q7" s="2506"/>
    </row>
    <row r="8" spans="1:17" ht="13.5" customHeight="1">
      <c r="A8" s="2478"/>
      <c r="B8" s="2515"/>
      <c r="C8" s="2231"/>
      <c r="D8" s="2231"/>
      <c r="E8" s="2256"/>
      <c r="F8" s="2231"/>
      <c r="G8" s="2257"/>
      <c r="H8" s="2231"/>
      <c r="I8" s="2508"/>
      <c r="J8" s="2506"/>
      <c r="K8" s="2512"/>
      <c r="L8" s="2508"/>
      <c r="M8" s="2506"/>
      <c r="N8" s="2508"/>
      <c r="O8" s="2506"/>
      <c r="P8" s="2508"/>
      <c r="Q8" s="2506"/>
    </row>
    <row r="9" spans="1:17" ht="12.75" customHeight="1">
      <c r="A9" s="2478"/>
      <c r="B9" s="2515"/>
      <c r="C9" s="2231"/>
      <c r="D9" s="2231"/>
      <c r="E9" s="2256"/>
      <c r="F9" s="2231"/>
      <c r="G9" s="2257"/>
      <c r="H9" s="2231"/>
      <c r="I9" s="2508"/>
      <c r="J9" s="2506"/>
      <c r="K9" s="2512"/>
      <c r="L9" s="2508"/>
      <c r="M9" s="2506"/>
      <c r="N9" s="2508"/>
      <c r="O9" s="2506"/>
      <c r="P9" s="2508"/>
      <c r="Q9" s="2506"/>
    </row>
    <row r="10" spans="1:17" ht="12.75" customHeight="1">
      <c r="A10" s="2478"/>
      <c r="B10" s="2515"/>
      <c r="C10" s="2231"/>
      <c r="D10" s="2231"/>
      <c r="E10" s="2256"/>
      <c r="F10" s="2231"/>
      <c r="G10" s="2257"/>
      <c r="H10" s="2231"/>
      <c r="I10" s="2508"/>
      <c r="J10" s="2506"/>
      <c r="K10" s="2512"/>
      <c r="L10" s="2508"/>
      <c r="M10" s="2506"/>
      <c r="N10" s="2508"/>
      <c r="O10" s="2506"/>
      <c r="P10" s="2508"/>
      <c r="Q10" s="2506"/>
    </row>
    <row r="11" spans="1:17" ht="13.5" customHeight="1">
      <c r="A11" s="2478"/>
      <c r="B11" s="2515"/>
      <c r="C11" s="2231"/>
      <c r="D11" s="2231"/>
      <c r="E11" s="2256"/>
      <c r="F11" s="2231"/>
      <c r="G11" s="2257"/>
      <c r="H11" s="2231"/>
      <c r="I11" s="2508"/>
      <c r="J11" s="2506"/>
      <c r="K11" s="2512"/>
      <c r="L11" s="2508"/>
      <c r="M11" s="2506"/>
      <c r="N11" s="2508"/>
      <c r="O11" s="2506"/>
      <c r="P11" s="2508"/>
      <c r="Q11" s="2506"/>
    </row>
    <row r="12" spans="1:17" ht="13.5" customHeight="1">
      <c r="A12" s="2478"/>
      <c r="B12" s="2515"/>
      <c r="C12" s="2231"/>
      <c r="D12" s="2231"/>
      <c r="E12" s="2256"/>
      <c r="F12" s="2231"/>
      <c r="G12" s="2257"/>
      <c r="H12" s="2231"/>
      <c r="I12" s="2508"/>
      <c r="J12" s="2506"/>
      <c r="K12" s="2512"/>
      <c r="L12" s="2508"/>
      <c r="M12" s="2506"/>
      <c r="N12" s="2508"/>
      <c r="O12" s="2506"/>
      <c r="P12" s="2508"/>
      <c r="Q12" s="2506"/>
    </row>
    <row r="13" spans="1:17" ht="13.5" customHeight="1">
      <c r="A13" s="2478"/>
      <c r="B13" s="2515"/>
      <c r="C13" s="2231"/>
      <c r="D13" s="2231"/>
      <c r="E13" s="2256"/>
      <c r="F13" s="2231"/>
      <c r="G13" s="2257"/>
      <c r="H13" s="2231"/>
      <c r="I13" s="2508"/>
      <c r="J13" s="2506"/>
      <c r="K13" s="2512"/>
      <c r="L13" s="2508"/>
      <c r="M13" s="2506"/>
      <c r="N13" s="2508"/>
      <c r="O13" s="2506"/>
      <c r="P13" s="2508"/>
      <c r="Q13" s="2506"/>
    </row>
    <row r="14" spans="1:17" ht="13.5" customHeight="1">
      <c r="A14" s="2478"/>
      <c r="B14" s="2515"/>
      <c r="C14" s="2231"/>
      <c r="D14" s="806"/>
      <c r="E14" s="2256"/>
      <c r="F14" s="806"/>
      <c r="G14" s="2257"/>
      <c r="H14" s="806"/>
      <c r="I14" s="2508"/>
      <c r="J14" s="2052"/>
      <c r="K14" s="2512"/>
      <c r="L14" s="2508"/>
      <c r="M14" s="2052"/>
      <c r="N14" s="2508"/>
      <c r="O14" s="2052"/>
      <c r="P14" s="2508"/>
      <c r="Q14" s="2052"/>
    </row>
    <row r="15" spans="1:17" ht="12.75" customHeight="1">
      <c r="A15" s="2478"/>
      <c r="B15" s="1555"/>
      <c r="C15" s="2231"/>
      <c r="D15" s="1556"/>
      <c r="E15" s="2256"/>
      <c r="F15" s="1556"/>
      <c r="G15" s="2257"/>
      <c r="H15" s="1556"/>
      <c r="I15" s="2508"/>
      <c r="J15" s="1556"/>
      <c r="K15" s="2512"/>
      <c r="L15" s="2508"/>
      <c r="M15" s="1556"/>
      <c r="N15" s="2508"/>
      <c r="O15" s="1556"/>
      <c r="P15" s="2508"/>
      <c r="Q15" s="1556"/>
    </row>
    <row r="16" spans="1:17" ht="13.5" customHeight="1">
      <c r="A16" s="2478"/>
      <c r="B16" s="1555"/>
      <c r="C16" s="2231"/>
      <c r="D16" s="1037"/>
      <c r="E16" s="2256"/>
      <c r="F16" s="1037"/>
      <c r="G16" s="2257"/>
      <c r="H16" s="1037"/>
      <c r="I16" s="2508"/>
      <c r="J16" s="2056"/>
      <c r="K16" s="2512"/>
      <c r="L16" s="2508"/>
      <c r="M16" s="2056"/>
      <c r="N16" s="2508"/>
      <c r="O16" s="2056"/>
      <c r="P16" s="2508"/>
      <c r="Q16" s="2056"/>
    </row>
    <row r="17" spans="1:17" ht="13.5" customHeight="1">
      <c r="A17" s="2478"/>
      <c r="B17" s="1555"/>
      <c r="C17" s="2231"/>
      <c r="D17" s="1037"/>
      <c r="E17" s="2256"/>
      <c r="F17" s="1037"/>
      <c r="G17" s="2257"/>
      <c r="H17" s="1037"/>
      <c r="I17" s="2508"/>
      <c r="J17" s="2056"/>
      <c r="K17" s="2512"/>
      <c r="L17" s="2508"/>
      <c r="M17" s="2056"/>
      <c r="N17" s="2508"/>
      <c r="O17" s="2056"/>
      <c r="P17" s="2508"/>
      <c r="Q17" s="2056"/>
    </row>
    <row r="18" spans="1:17" ht="13.5" customHeight="1">
      <c r="A18" s="2478"/>
      <c r="B18" s="1555"/>
      <c r="C18" s="2231"/>
      <c r="D18" s="1037"/>
      <c r="E18" s="2256"/>
      <c r="F18" s="1037"/>
      <c r="G18" s="2257"/>
      <c r="H18" s="1037"/>
      <c r="I18" s="2508"/>
      <c r="J18" s="2056"/>
      <c r="K18" s="2512"/>
      <c r="L18" s="2508"/>
      <c r="M18" s="2056"/>
      <c r="N18" s="2508"/>
      <c r="O18" s="2056"/>
      <c r="P18" s="2508"/>
      <c r="Q18" s="2056"/>
    </row>
    <row r="19" spans="1:17" ht="29.25" customHeight="1">
      <c r="A19" s="2478"/>
      <c r="B19" s="1555"/>
      <c r="C19" s="2231"/>
      <c r="D19" s="1557"/>
      <c r="E19" s="2256"/>
      <c r="F19" s="1557"/>
      <c r="G19" s="2257"/>
      <c r="H19" s="1557"/>
      <c r="I19" s="2508"/>
      <c r="J19" s="1559"/>
      <c r="K19" s="2512"/>
      <c r="L19" s="2508"/>
      <c r="M19" s="1559"/>
      <c r="N19" s="2508"/>
      <c r="O19" s="1559"/>
      <c r="P19" s="2508"/>
      <c r="Q19" s="1559"/>
    </row>
    <row r="20" spans="1:17">
      <c r="A20" s="2478"/>
      <c r="B20" s="1555"/>
      <c r="C20" s="2231"/>
      <c r="D20" s="806"/>
      <c r="E20" s="1434"/>
      <c r="F20" s="806"/>
      <c r="G20" s="1071"/>
      <c r="H20" s="806"/>
      <c r="I20" s="2053"/>
      <c r="J20" s="2052"/>
      <c r="K20" s="2512"/>
      <c r="L20" s="2053"/>
      <c r="M20" s="2052"/>
      <c r="N20" s="2053"/>
      <c r="O20" s="2052"/>
      <c r="P20" s="2053"/>
      <c r="Q20" s="2052"/>
    </row>
    <row r="21" spans="1:17" ht="12.75" customHeight="1">
      <c r="A21" s="2478"/>
      <c r="B21" s="1555"/>
      <c r="C21" s="1558"/>
      <c r="D21" s="1559"/>
      <c r="E21" s="1558"/>
      <c r="F21" s="1559"/>
      <c r="G21" s="1558"/>
      <c r="H21" s="1559"/>
      <c r="I21" s="1558"/>
      <c r="J21" s="1559"/>
      <c r="K21" s="2512"/>
      <c r="L21" s="1558"/>
      <c r="M21" s="1559"/>
      <c r="N21" s="1558"/>
      <c r="O21" s="1559"/>
      <c r="P21" s="1558"/>
      <c r="Q21" s="1559"/>
    </row>
    <row r="22" spans="1:17">
      <c r="A22" s="2478"/>
      <c r="B22" s="1555"/>
      <c r="C22" s="1038" t="s">
        <v>976</v>
      </c>
      <c r="D22" s="806"/>
      <c r="E22" s="1560" t="s">
        <v>976</v>
      </c>
      <c r="F22" s="806"/>
      <c r="G22" s="1038" t="s">
        <v>976</v>
      </c>
      <c r="H22" s="806"/>
      <c r="I22" s="2057" t="s">
        <v>976</v>
      </c>
      <c r="J22" s="2052"/>
      <c r="K22" s="2512"/>
      <c r="L22" s="2057" t="s">
        <v>976</v>
      </c>
      <c r="M22" s="2052"/>
      <c r="N22" s="2057" t="s">
        <v>976</v>
      </c>
      <c r="O22" s="2052"/>
      <c r="P22" s="2057" t="s">
        <v>976</v>
      </c>
      <c r="Q22" s="2052"/>
    </row>
    <row r="23" spans="1:17">
      <c r="A23" s="2478"/>
      <c r="B23" s="1555"/>
      <c r="C23" s="806" t="str">
        <f>CONCATENATE("2. Não ► (",E4,")")</f>
        <v>2. Não ► (5,03)</v>
      </c>
      <c r="D23" s="806"/>
      <c r="E23" s="1434" t="str">
        <f>CONCATENATE("2. Não ► (",G4,")")</f>
        <v>2. Não ► (5,05)</v>
      </c>
      <c r="F23" s="806"/>
      <c r="G23" s="1071" t="str">
        <f>CONCATENATE("2. Não ► (",I4,")")</f>
        <v>2. Não ► (5,07)</v>
      </c>
      <c r="H23" s="806"/>
      <c r="I23" s="2053" t="str">
        <f>CONCATENATE("2. Não ► (",L4,")")</f>
        <v>2. Não ► (5,09)</v>
      </c>
      <c r="J23" s="2052"/>
      <c r="K23" s="2512"/>
      <c r="L23" s="2053" t="str">
        <f>CONCATENATE("2. Não ► (",N4,")")</f>
        <v>2. Não ► (5,11)</v>
      </c>
      <c r="M23" s="2052"/>
      <c r="N23" s="2053" t="str">
        <f>CONCATENATE("2. Não ► (",P4,")")</f>
        <v>2. Não ► (5,13)</v>
      </c>
      <c r="O23" s="2052"/>
      <c r="P23" s="2053" t="s">
        <v>977</v>
      </c>
      <c r="Q23" s="2052"/>
    </row>
    <row r="24" spans="1:17">
      <c r="A24" s="2478"/>
      <c r="B24" s="1561"/>
      <c r="C24" s="1562"/>
      <c r="D24" s="1438"/>
      <c r="E24" s="1563"/>
      <c r="F24" s="1438"/>
      <c r="G24" s="1562"/>
      <c r="H24" s="1438"/>
      <c r="I24" s="2058"/>
      <c r="J24" s="2051"/>
      <c r="K24" s="2512"/>
      <c r="L24" s="2058"/>
      <c r="M24" s="2051"/>
      <c r="N24" s="2058"/>
      <c r="O24" s="2051"/>
      <c r="P24" s="2058"/>
      <c r="Q24" s="2051"/>
    </row>
    <row r="25" spans="1:17" ht="14.25" customHeight="1" thickBot="1">
      <c r="A25" s="2479"/>
      <c r="B25" s="1564" t="s">
        <v>187</v>
      </c>
      <c r="C25" s="1565" t="s">
        <v>420</v>
      </c>
      <c r="D25" s="1566" t="s">
        <v>428</v>
      </c>
      <c r="E25" s="1567" t="s">
        <v>420</v>
      </c>
      <c r="F25" s="1568" t="s">
        <v>428</v>
      </c>
      <c r="G25" s="1569" t="s">
        <v>420</v>
      </c>
      <c r="H25" s="1568" t="s">
        <v>428</v>
      </c>
      <c r="I25" s="2059" t="s">
        <v>420</v>
      </c>
      <c r="J25" s="2060" t="s">
        <v>428</v>
      </c>
      <c r="K25" s="2513"/>
      <c r="L25" s="2059" t="s">
        <v>420</v>
      </c>
      <c r="M25" s="2060" t="s">
        <v>428</v>
      </c>
      <c r="N25" s="2059" t="s">
        <v>420</v>
      </c>
      <c r="O25" s="2060" t="s">
        <v>428</v>
      </c>
      <c r="P25" s="2059" t="s">
        <v>420</v>
      </c>
      <c r="Q25" s="2060" t="s">
        <v>428</v>
      </c>
    </row>
    <row r="26" spans="1:17" ht="14.25" thickTop="1">
      <c r="A26" s="1570">
        <v>1</v>
      </c>
      <c r="B26" s="1571"/>
      <c r="C26" s="1572"/>
      <c r="D26" s="1572"/>
      <c r="E26" s="1573"/>
      <c r="F26" s="1574"/>
      <c r="G26" s="1575"/>
      <c r="H26" s="1574"/>
      <c r="I26" s="1575"/>
      <c r="J26" s="1574"/>
      <c r="K26" s="1570">
        <v>1</v>
      </c>
      <c r="L26" s="1575"/>
      <c r="M26" s="1574"/>
      <c r="N26" s="1575"/>
      <c r="O26" s="1574"/>
      <c r="P26" s="1575"/>
      <c r="Q26" s="1574"/>
    </row>
    <row r="27" spans="1:17">
      <c r="A27" s="1576">
        <v>2</v>
      </c>
      <c r="B27" s="1577"/>
      <c r="C27" s="1578"/>
      <c r="D27" s="1578"/>
      <c r="E27" s="1579"/>
      <c r="F27" s="1266"/>
      <c r="G27" s="1580"/>
      <c r="H27" s="1266"/>
      <c r="I27" s="1580"/>
      <c r="J27" s="1266"/>
      <c r="K27" s="1576">
        <v>2</v>
      </c>
      <c r="L27" s="1580"/>
      <c r="M27" s="1266"/>
      <c r="N27" s="1580"/>
      <c r="O27" s="1266"/>
      <c r="P27" s="1580"/>
      <c r="Q27" s="1266"/>
    </row>
    <row r="28" spans="1:17">
      <c r="A28" s="1581">
        <v>3</v>
      </c>
      <c r="B28" s="1577"/>
      <c r="C28" s="1578"/>
      <c r="D28" s="1578"/>
      <c r="E28" s="1579"/>
      <c r="F28" s="1266"/>
      <c r="G28" s="1580"/>
      <c r="H28" s="1266"/>
      <c r="I28" s="1580"/>
      <c r="J28" s="1266"/>
      <c r="K28" s="1581">
        <v>3</v>
      </c>
      <c r="L28" s="1580"/>
      <c r="M28" s="1266"/>
      <c r="N28" s="1580"/>
      <c r="O28" s="1266"/>
      <c r="P28" s="1580"/>
      <c r="Q28" s="1266"/>
    </row>
    <row r="29" spans="1:17">
      <c r="A29" s="1581">
        <v>4</v>
      </c>
      <c r="B29" s="1577"/>
      <c r="C29" s="1578"/>
      <c r="D29" s="1578"/>
      <c r="E29" s="1579"/>
      <c r="F29" s="1266"/>
      <c r="G29" s="1580"/>
      <c r="H29" s="1266"/>
      <c r="I29" s="1580"/>
      <c r="J29" s="1266"/>
      <c r="K29" s="1581">
        <v>4</v>
      </c>
      <c r="L29" s="1580"/>
      <c r="M29" s="1266"/>
      <c r="N29" s="1580"/>
      <c r="O29" s="1266"/>
      <c r="P29" s="1580"/>
      <c r="Q29" s="1266"/>
    </row>
    <row r="30" spans="1:17">
      <c r="C30" s="533"/>
      <c r="D30" s="533"/>
      <c r="E30" s="533"/>
      <c r="F30" s="533"/>
      <c r="G30" s="533"/>
      <c r="H30" s="533"/>
      <c r="I30" s="533"/>
      <c r="J30" s="533"/>
      <c r="L30" s="533"/>
      <c r="M30" s="533"/>
      <c r="N30" s="533"/>
      <c r="O30" s="533"/>
      <c r="P30" s="533"/>
      <c r="Q30" s="533"/>
    </row>
    <row r="31" spans="1:17">
      <c r="C31" s="533"/>
      <c r="D31" s="533"/>
      <c r="E31" s="533"/>
      <c r="F31" s="533"/>
      <c r="G31" s="533"/>
      <c r="H31" s="533"/>
      <c r="I31" s="533"/>
      <c r="J31" s="533"/>
      <c r="L31" s="533"/>
      <c r="M31" s="533"/>
      <c r="N31" s="533"/>
      <c r="O31" s="533"/>
      <c r="P31" s="533"/>
      <c r="Q31" s="533"/>
    </row>
    <row r="32" spans="1:17">
      <c r="C32" s="533"/>
      <c r="D32" s="533"/>
      <c r="E32" s="533"/>
      <c r="F32" s="533"/>
      <c r="G32" s="533"/>
      <c r="H32" s="533"/>
      <c r="I32" s="533"/>
      <c r="J32" s="533"/>
      <c r="L32" s="533"/>
      <c r="M32" s="533"/>
      <c r="N32" s="533"/>
      <c r="O32" s="533"/>
      <c r="P32" s="533"/>
      <c r="Q32" s="533"/>
    </row>
    <row r="33" spans="1:17">
      <c r="C33" s="533"/>
      <c r="D33" s="533"/>
      <c r="E33" s="533"/>
      <c r="F33" s="533"/>
      <c r="G33" s="533"/>
      <c r="H33" s="533"/>
      <c r="I33" s="533"/>
      <c r="J33" s="533"/>
      <c r="L33" s="533"/>
      <c r="M33" s="533"/>
      <c r="N33" s="533"/>
      <c r="O33" s="533"/>
      <c r="P33" s="533"/>
      <c r="Q33" s="533"/>
    </row>
    <row r="34" spans="1:17">
      <c r="C34" s="533"/>
      <c r="D34" s="533"/>
      <c r="E34" s="533"/>
      <c r="F34" s="533"/>
      <c r="G34" s="533"/>
      <c r="H34" s="533"/>
      <c r="I34" s="533"/>
      <c r="J34" s="533"/>
      <c r="L34" s="533"/>
      <c r="M34" s="533"/>
      <c r="N34" s="533"/>
      <c r="O34" s="533"/>
      <c r="P34" s="533"/>
      <c r="Q34" s="533"/>
    </row>
    <row r="35" spans="1:17">
      <c r="C35" s="533"/>
      <c r="D35" s="533"/>
      <c r="E35" s="533"/>
      <c r="F35" s="533"/>
      <c r="G35" s="533"/>
      <c r="H35" s="533"/>
      <c r="I35" s="533"/>
      <c r="J35" s="533"/>
      <c r="L35" s="533"/>
      <c r="M35" s="533"/>
      <c r="N35" s="533"/>
      <c r="O35" s="533"/>
      <c r="P35" s="533"/>
      <c r="Q35" s="533"/>
    </row>
    <row r="36" spans="1:17">
      <c r="C36" s="533"/>
      <c r="D36" s="533"/>
      <c r="E36" s="533"/>
      <c r="F36" s="533"/>
      <c r="G36" s="533"/>
      <c r="H36" s="533"/>
      <c r="I36" s="533"/>
      <c r="J36" s="533"/>
      <c r="L36" s="533"/>
      <c r="M36" s="533"/>
      <c r="N36" s="533"/>
      <c r="O36" s="533"/>
      <c r="P36" s="533"/>
      <c r="Q36" s="533"/>
    </row>
    <row r="37" spans="1:17">
      <c r="C37" s="533"/>
      <c r="D37" s="533"/>
      <c r="E37" s="533"/>
      <c r="F37" s="533"/>
      <c r="G37" s="533"/>
      <c r="H37" s="533"/>
      <c r="I37" s="533"/>
      <c r="J37" s="533"/>
      <c r="L37" s="533"/>
      <c r="M37" s="533"/>
      <c r="N37" s="533"/>
      <c r="O37" s="533"/>
      <c r="P37" s="533"/>
      <c r="Q37" s="533"/>
    </row>
    <row r="38" spans="1:17">
      <c r="A38" s="271"/>
      <c r="B38" s="271"/>
      <c r="C38" s="533"/>
      <c r="D38" s="533"/>
      <c r="E38" s="533"/>
      <c r="F38" s="533"/>
      <c r="G38" s="533"/>
      <c r="H38" s="533"/>
      <c r="I38" s="533"/>
      <c r="J38" s="533"/>
      <c r="L38" s="533"/>
      <c r="M38" s="533"/>
      <c r="N38" s="533"/>
      <c r="O38" s="533"/>
      <c r="P38" s="533"/>
      <c r="Q38" s="533"/>
    </row>
    <row r="39" spans="1:17">
      <c r="A39" s="271"/>
      <c r="B39" s="271"/>
      <c r="C39" s="533"/>
      <c r="D39" s="533"/>
      <c r="E39" s="533"/>
      <c r="F39" s="533"/>
      <c r="G39" s="533"/>
      <c r="H39" s="533"/>
      <c r="I39" s="533"/>
      <c r="J39" s="533"/>
      <c r="L39" s="533"/>
      <c r="M39" s="533"/>
      <c r="N39" s="533"/>
      <c r="O39" s="533"/>
      <c r="P39" s="533"/>
      <c r="Q39" s="533"/>
    </row>
    <row r="40" spans="1:17">
      <c r="A40" s="271"/>
      <c r="B40" s="271"/>
      <c r="C40" s="533"/>
      <c r="D40" s="533"/>
      <c r="E40" s="533"/>
      <c r="F40" s="533"/>
      <c r="G40" s="533"/>
      <c r="H40" s="533"/>
      <c r="I40" s="533"/>
      <c r="J40" s="533"/>
      <c r="L40" s="533"/>
      <c r="M40" s="533"/>
      <c r="N40" s="533"/>
      <c r="O40" s="533"/>
      <c r="P40" s="533"/>
      <c r="Q40" s="533"/>
    </row>
    <row r="41" spans="1:17">
      <c r="A41" s="271"/>
      <c r="B41" s="271"/>
      <c r="C41" s="533"/>
      <c r="D41" s="533"/>
      <c r="E41" s="533"/>
      <c r="F41" s="533"/>
      <c r="G41" s="533"/>
      <c r="H41" s="533"/>
      <c r="I41" s="533"/>
      <c r="J41" s="533"/>
      <c r="L41" s="533"/>
      <c r="M41" s="533"/>
      <c r="N41" s="533"/>
      <c r="O41" s="533"/>
      <c r="P41" s="533"/>
      <c r="Q41" s="533"/>
    </row>
    <row r="42" spans="1:17">
      <c r="A42" s="271"/>
      <c r="B42" s="271"/>
      <c r="C42" s="533"/>
      <c r="D42" s="533"/>
      <c r="E42" s="533"/>
      <c r="F42" s="533"/>
      <c r="G42" s="533"/>
      <c r="H42" s="533"/>
      <c r="I42" s="533"/>
      <c r="J42" s="533"/>
      <c r="L42" s="533"/>
      <c r="M42" s="533"/>
      <c r="N42" s="533"/>
      <c r="O42" s="533"/>
      <c r="P42" s="533"/>
      <c r="Q42" s="533"/>
    </row>
    <row r="43" spans="1:17">
      <c r="A43" s="271"/>
      <c r="B43" s="271"/>
      <c r="C43" s="533"/>
      <c r="D43" s="533"/>
      <c r="E43" s="533"/>
      <c r="F43" s="533"/>
      <c r="G43" s="533"/>
      <c r="H43" s="533"/>
      <c r="I43" s="533"/>
      <c r="J43" s="533"/>
      <c r="L43" s="533"/>
      <c r="M43" s="533"/>
      <c r="N43" s="533"/>
      <c r="O43" s="533"/>
      <c r="P43" s="533"/>
      <c r="Q43" s="533"/>
    </row>
    <row r="44" spans="1:17">
      <c r="A44" s="271"/>
      <c r="B44" s="271"/>
      <c r="C44" s="533"/>
      <c r="D44" s="533"/>
      <c r="E44" s="533"/>
      <c r="F44" s="533"/>
      <c r="G44" s="533"/>
      <c r="H44" s="533"/>
      <c r="I44" s="533"/>
      <c r="J44" s="533"/>
      <c r="L44" s="533"/>
      <c r="M44" s="533"/>
      <c r="N44" s="533"/>
      <c r="O44" s="533"/>
      <c r="P44" s="533"/>
      <c r="Q44" s="533"/>
    </row>
  </sheetData>
  <customSheetViews>
    <customSheetView guid="{9C153D9E-615C-443B-9CD7-551163282F03}" scale="180" showPageBreaks="1" printArea="1" view="pageBreakPreview" topLeftCell="L2">
      <selection activeCell="N5" sqref="N5:N19"/>
      <colBreaks count="1" manualBreakCount="1">
        <brk id="10" max="38" man="1"/>
      </colBreaks>
      <pageMargins left="0" right="0" top="0" bottom="0" header="0" footer="0"/>
      <pageSetup firstPageNumber="61" orientation="landscape" r:id="rId1"/>
      <headerFooter>
        <oddFooter>&amp;C&amp;P</oddFooter>
      </headerFooter>
    </customSheetView>
    <customSheetView guid="{BE9F68F7-D81B-4526-9959-D871EC50BDFF}" scale="180" showPageBreaks="1" printArea="1" view="pageBreakPreview" topLeftCell="L2">
      <selection activeCell="N5" sqref="N5:N19"/>
      <colBreaks count="1" manualBreakCount="1">
        <brk id="10" max="38" man="1"/>
      </colBreaks>
      <pageMargins left="0" right="0" top="0" bottom="0" header="0" footer="0"/>
      <pageSetup firstPageNumber="61" orientation="landscape" r:id="rId2"/>
      <headerFooter>
        <oddFooter>&amp;C&amp;P</oddFooter>
      </headerFooter>
    </customSheetView>
    <customSheetView guid="{EF790C5B-80DA-4544-9EB7-EFE0323B2298}" scale="180" showPageBreaks="1" printArea="1" view="pageBreakPreview" topLeftCell="M1">
      <selection activeCell="O5" sqref="O5:O13"/>
      <colBreaks count="1" manualBreakCount="1">
        <brk id="10" max="38" man="1"/>
      </colBreaks>
      <pageMargins left="0" right="0" top="0" bottom="0" header="0" footer="0"/>
      <pageSetup firstPageNumber="61" orientation="landscape" r:id="rId3"/>
      <headerFooter>
        <oddFooter>&amp;C&amp;P</oddFooter>
      </headerFooter>
    </customSheetView>
    <customSheetView guid="{C9D2DBB1-CD01-4732-8C86-64BE16C94753}" scale="120" showPageBreaks="1" printArea="1" view="pageBreakPreview">
      <selection activeCell="A4" sqref="A4:A25"/>
      <colBreaks count="1" manualBreakCount="1">
        <brk id="10" max="38" man="1"/>
      </colBreaks>
      <pageMargins left="0" right="0" top="0" bottom="0" header="0" footer="0"/>
      <pageSetup firstPageNumber="61" orientation="landscape" r:id="rId4"/>
      <headerFooter>
        <oddFooter>&amp;C&amp;P</oddFooter>
      </headerFooter>
    </customSheetView>
    <customSheetView guid="{BFEC163F-7C4E-49B7-9F32-15225772E72F}" scale="120" showPageBreaks="1" printArea="1" view="pageBreakPreview" topLeftCell="H1">
      <selection activeCell="K1" sqref="K1"/>
      <colBreaks count="1" manualBreakCount="1">
        <brk id="10" max="38" man="1"/>
      </colBreaks>
      <pageMargins left="0" right="0" top="0" bottom="0" header="0" footer="0"/>
      <pageSetup firstPageNumber="61" orientation="landscape" r:id="rId5"/>
      <headerFooter>
        <oddFooter>&amp;C&amp;P</oddFooter>
      </headerFooter>
    </customSheetView>
    <customSheetView guid="{5529DB6B-163A-4048-9107-267B30B97DF3}" scale="120" showPageBreaks="1" printArea="1" view="pageBreakPreview" topLeftCell="H1">
      <selection activeCell="K1" sqref="K1"/>
      <colBreaks count="1" manualBreakCount="1">
        <brk id="10" max="38" man="1"/>
      </colBreaks>
      <pageMargins left="0" right="0" top="0" bottom="0" header="0" footer="0"/>
      <pageSetup firstPageNumber="61" orientation="landscape" r:id="rId6"/>
      <headerFooter>
        <oddFooter>&amp;C&amp;P</oddFooter>
      </headerFooter>
    </customSheetView>
    <customSheetView guid="{9B0763AA-FA4B-479A-900C-C113E8BEEFEB}" scale="120" showPageBreaks="1" printArea="1" view="pageBreakPreview" topLeftCell="H1">
      <selection activeCell="L5" sqref="L5:L19"/>
      <colBreaks count="1" manualBreakCount="1">
        <brk id="10" max="38" man="1"/>
      </colBreaks>
      <pageMargins left="0" right="0" top="0" bottom="0" header="0" footer="0"/>
      <pageSetup firstPageNumber="61" orientation="landscape" r:id="rId7"/>
      <headerFooter>
        <oddFooter>&amp;C&amp;P</oddFooter>
      </headerFooter>
    </customSheetView>
    <customSheetView guid="{89903799-8228-4A6D-8A81-7F80BC61226D}" scale="180" showPageBreaks="1" printArea="1" view="pageBreakPreview" topLeftCell="L2">
      <selection activeCell="N5" sqref="N5:N19"/>
      <colBreaks count="1" manualBreakCount="1">
        <brk id="10" max="38" man="1"/>
      </colBreaks>
      <pageMargins left="0" right="0" top="0" bottom="0" header="0" footer="0"/>
      <pageSetup firstPageNumber="61" orientation="landscape" r:id="rId8"/>
      <headerFooter>
        <oddFooter>&amp;C&amp;P</oddFooter>
      </headerFooter>
    </customSheetView>
    <customSheetView guid="{2524630E-605A-4616-AD5D-6CF7B1E9752C}" scale="180" showPageBreaks="1" printArea="1" view="pageBreakPreview" topLeftCell="M1">
      <selection activeCell="O5" sqref="O5:O13"/>
      <colBreaks count="1" manualBreakCount="1">
        <brk id="10" max="38" man="1"/>
      </colBreaks>
      <pageMargins left="0" right="0" top="0" bottom="0" header="0" footer="0"/>
      <pageSetup firstPageNumber="61" orientation="landscape" r:id="rId9"/>
      <headerFooter>
        <oddFooter>&amp;C&amp;P</oddFooter>
      </headerFooter>
    </customSheetView>
  </customSheetViews>
  <mergeCells count="17">
    <mergeCell ref="A4:A25"/>
    <mergeCell ref="O5:O13"/>
    <mergeCell ref="B5:B14"/>
    <mergeCell ref="C5:C20"/>
    <mergeCell ref="Q5:Q13"/>
    <mergeCell ref="P5:P19"/>
    <mergeCell ref="N5:N19"/>
    <mergeCell ref="L5:L19"/>
    <mergeCell ref="D5:D13"/>
    <mergeCell ref="F5:F13"/>
    <mergeCell ref="H5:H13"/>
    <mergeCell ref="J5:J13"/>
    <mergeCell ref="M5:M13"/>
    <mergeCell ref="I5:I19"/>
    <mergeCell ref="G5:G19"/>
    <mergeCell ref="E5:E19"/>
    <mergeCell ref="K4:K25"/>
  </mergeCells>
  <pageMargins left="0" right="0" top="0.11811023622047245" bottom="0.27559055118110237" header="0.15748031496062992" footer="0.11811023622047245"/>
  <pageSetup scale="98" firstPageNumber="61" orientation="landscape" r:id="rId10"/>
  <headerFooter>
    <oddFooter>&amp;C&amp;P</oddFooter>
  </headerFooter>
  <colBreaks count="1" manualBreakCount="1">
    <brk id="10" max="28"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F51"/>
  <sheetViews>
    <sheetView view="pageBreakPreview" topLeftCell="U1" zoomScale="190" zoomScaleNormal="90" zoomScaleSheetLayoutView="190" zoomScalePageLayoutView="110" workbookViewId="0">
      <selection activeCell="W9" sqref="W9:W10"/>
    </sheetView>
  </sheetViews>
  <sheetFormatPr defaultColWidth="9.140625" defaultRowHeight="13.5"/>
  <cols>
    <col min="1" max="1" width="3.42578125" style="269" customWidth="1"/>
    <col min="2" max="2" width="5.42578125" style="269" customWidth="1"/>
    <col min="3" max="12" width="3.42578125" style="271" customWidth="1"/>
    <col min="13" max="13" width="9" style="271" customWidth="1"/>
    <col min="14" max="14" width="13.42578125" style="271" customWidth="1"/>
    <col min="15" max="15" width="14.42578125" style="271" customWidth="1"/>
    <col min="16" max="17" width="12.28515625" style="271" customWidth="1"/>
    <col min="18" max="18" width="8.42578125" style="271" customWidth="1"/>
    <col min="19" max="19" width="8.7109375" style="271" customWidth="1"/>
    <col min="20" max="20" width="12.7109375" style="271" customWidth="1"/>
    <col min="21" max="21" width="3.42578125" style="269" customWidth="1"/>
    <col min="22" max="22" width="12" style="271" customWidth="1"/>
    <col min="23" max="23" width="19.7109375" style="271" customWidth="1"/>
    <col min="24" max="24" width="13.5703125" style="271" customWidth="1"/>
    <col min="25" max="26" width="9" style="271" customWidth="1"/>
    <col min="27" max="27" width="14" style="271" customWidth="1"/>
    <col min="28" max="28" width="12.42578125" style="271" customWidth="1"/>
    <col min="29" max="29" width="9.28515625" style="271" customWidth="1"/>
    <col min="30" max="30" width="10.7109375" style="271" customWidth="1"/>
    <col min="31" max="31" width="9.7109375" style="271" customWidth="1"/>
    <col min="32" max="32" width="14.7109375" style="769" customWidth="1"/>
    <col min="33" max="16384" width="9.140625" style="271"/>
  </cols>
  <sheetData>
    <row r="1" spans="1:32" s="582" customFormat="1" ht="12.75">
      <c r="A1" s="1945" t="s">
        <v>978</v>
      </c>
      <c r="B1" s="1945"/>
      <c r="C1" s="1945"/>
      <c r="D1" s="1945"/>
      <c r="E1" s="1945"/>
      <c r="F1" s="1945"/>
      <c r="G1" s="1945"/>
      <c r="H1" s="1945"/>
      <c r="I1" s="1945"/>
      <c r="J1" s="1945"/>
      <c r="K1" s="1945"/>
      <c r="L1" s="1945"/>
      <c r="M1" s="1945"/>
      <c r="N1" s="1945"/>
      <c r="O1" s="1945"/>
      <c r="U1" s="1945" t="s">
        <v>978</v>
      </c>
      <c r="V1" s="1945"/>
      <c r="AF1" s="1946"/>
    </row>
    <row r="2" spans="1:32" s="582" customFormat="1" ht="12.75">
      <c r="A2" s="2477" t="s">
        <v>187</v>
      </c>
      <c r="B2" s="1947">
        <v>6</v>
      </c>
      <c r="C2" s="2544">
        <v>6.01</v>
      </c>
      <c r="D2" s="2545"/>
      <c r="E2" s="2545"/>
      <c r="F2" s="2545"/>
      <c r="G2" s="2545"/>
      <c r="H2" s="2545"/>
      <c r="I2" s="2545"/>
      <c r="J2" s="2545"/>
      <c r="K2" s="2545"/>
      <c r="L2" s="2545"/>
      <c r="M2" s="1948">
        <v>6.02</v>
      </c>
      <c r="N2" s="1948">
        <f t="shared" ref="N2:T2" si="0">M2+0.01</f>
        <v>6.0299999999999994</v>
      </c>
      <c r="O2" s="1948">
        <f t="shared" si="0"/>
        <v>6.0399999999999991</v>
      </c>
      <c r="P2" s="1948">
        <f t="shared" si="0"/>
        <v>6.0499999999999989</v>
      </c>
      <c r="Q2" s="1948">
        <f t="shared" si="0"/>
        <v>6.0599999999999987</v>
      </c>
      <c r="R2" s="1948">
        <f t="shared" si="0"/>
        <v>6.0699999999999985</v>
      </c>
      <c r="S2" s="1948">
        <f t="shared" si="0"/>
        <v>6.0799999999999983</v>
      </c>
      <c r="T2" s="1948">
        <f t="shared" si="0"/>
        <v>6.0899999999999981</v>
      </c>
      <c r="U2" s="2477" t="s">
        <v>187</v>
      </c>
      <c r="V2" s="1949">
        <f>T2+0.01</f>
        <v>6.0999999999999979</v>
      </c>
      <c r="W2" s="1949">
        <f>V2+0.01</f>
        <v>6.1099999999999977</v>
      </c>
      <c r="X2" s="1949">
        <f>W2+0.01</f>
        <v>6.1199999999999974</v>
      </c>
      <c r="Y2" s="1948">
        <f>X2+0.01</f>
        <v>6.1299999999999972</v>
      </c>
      <c r="Z2" s="1950"/>
      <c r="AA2" s="1951">
        <f>Y2+0.01</f>
        <v>6.139999999999997</v>
      </c>
      <c r="AB2" s="1949">
        <f>AA2+0.01</f>
        <v>6.1499999999999968</v>
      </c>
      <c r="AC2" s="1949">
        <f>AB2+0.01</f>
        <v>6.1599999999999966</v>
      </c>
      <c r="AD2" s="1949">
        <f>AC2+0.01</f>
        <v>6.1699999999999964</v>
      </c>
      <c r="AE2" s="1949">
        <f>AD2+0.01</f>
        <v>6.1799999999999962</v>
      </c>
      <c r="AF2" s="1949">
        <f>AE2+0.01</f>
        <v>6.1899999999999959</v>
      </c>
    </row>
    <row r="3" spans="1:32" ht="12.75" customHeight="1">
      <c r="A3" s="2478"/>
      <c r="B3" s="2540" t="s">
        <v>190</v>
      </c>
      <c r="C3" s="2510" t="s">
        <v>979</v>
      </c>
      <c r="D3" s="2400"/>
      <c r="E3" s="2400"/>
      <c r="F3" s="2400"/>
      <c r="G3" s="2400"/>
      <c r="H3" s="2400"/>
      <c r="I3" s="2400"/>
      <c r="J3" s="2400"/>
      <c r="K3" s="2400"/>
      <c r="L3" s="2396"/>
      <c r="M3" s="2509" t="s">
        <v>980</v>
      </c>
      <c r="N3" s="2509" t="s">
        <v>981</v>
      </c>
      <c r="O3" s="2509" t="s">
        <v>982</v>
      </c>
      <c r="P3" s="2509" t="s">
        <v>983</v>
      </c>
      <c r="Q3" s="2509" t="s">
        <v>984</v>
      </c>
      <c r="R3" s="2509" t="s">
        <v>985</v>
      </c>
      <c r="S3" s="2509" t="s">
        <v>986</v>
      </c>
      <c r="T3" s="2509" t="s">
        <v>987</v>
      </c>
      <c r="U3" s="2478"/>
      <c r="V3" s="2509" t="s">
        <v>988</v>
      </c>
      <c r="W3" s="2509" t="s">
        <v>989</v>
      </c>
      <c r="X3" s="2509" t="s">
        <v>990</v>
      </c>
      <c r="Y3" s="2257" t="s">
        <v>991</v>
      </c>
      <c r="Z3" s="2258"/>
      <c r="AA3" s="2509" t="s">
        <v>992</v>
      </c>
      <c r="AB3" s="2509" t="s">
        <v>993</v>
      </c>
      <c r="AC3" s="2509" t="s">
        <v>994</v>
      </c>
      <c r="AD3" s="2509" t="s">
        <v>995</v>
      </c>
      <c r="AE3" s="2509" t="s">
        <v>996</v>
      </c>
      <c r="AF3" s="2509" t="s">
        <v>997</v>
      </c>
    </row>
    <row r="4" spans="1:32" ht="12.75" customHeight="1">
      <c r="A4" s="2478"/>
      <c r="B4" s="2540"/>
      <c r="C4" s="2256"/>
      <c r="D4" s="2257"/>
      <c r="E4" s="2257"/>
      <c r="F4" s="2257"/>
      <c r="G4" s="2257"/>
      <c r="H4" s="2257"/>
      <c r="I4" s="2257"/>
      <c r="J4" s="2257"/>
      <c r="K4" s="2257"/>
      <c r="L4" s="2258"/>
      <c r="M4" s="2231"/>
      <c r="N4" s="2231"/>
      <c r="O4" s="2231"/>
      <c r="P4" s="2231"/>
      <c r="Q4" s="2231"/>
      <c r="R4" s="2231"/>
      <c r="S4" s="2231"/>
      <c r="T4" s="2231"/>
      <c r="U4" s="2478"/>
      <c r="V4" s="2231"/>
      <c r="W4" s="2231"/>
      <c r="X4" s="2231"/>
      <c r="Y4" s="2257"/>
      <c r="Z4" s="2258"/>
      <c r="AA4" s="2231"/>
      <c r="AB4" s="2231"/>
      <c r="AC4" s="2231"/>
      <c r="AD4" s="2231"/>
      <c r="AE4" s="2231"/>
      <c r="AF4" s="2231"/>
    </row>
    <row r="5" spans="1:32" ht="12.75" customHeight="1">
      <c r="A5" s="2478"/>
      <c r="B5" s="2540"/>
      <c r="C5" s="2256"/>
      <c r="D5" s="2257"/>
      <c r="E5" s="2257"/>
      <c r="F5" s="2257"/>
      <c r="G5" s="2257"/>
      <c r="H5" s="2257"/>
      <c r="I5" s="2257"/>
      <c r="J5" s="2257"/>
      <c r="K5" s="2257"/>
      <c r="L5" s="2258"/>
      <c r="M5" s="2231"/>
      <c r="N5" s="2231"/>
      <c r="O5" s="2231"/>
      <c r="P5" s="2231"/>
      <c r="Q5" s="2231"/>
      <c r="R5" s="2231"/>
      <c r="S5" s="2231"/>
      <c r="T5" s="2231"/>
      <c r="U5" s="2478"/>
      <c r="V5" s="2231"/>
      <c r="W5" s="2231"/>
      <c r="X5" s="2231"/>
      <c r="Y5" s="2536"/>
      <c r="Z5" s="2537"/>
      <c r="AA5" s="2231"/>
      <c r="AB5" s="2231"/>
      <c r="AC5" s="2231"/>
      <c r="AD5" s="2231"/>
      <c r="AE5" s="2231"/>
      <c r="AF5" s="2231"/>
    </row>
    <row r="6" spans="1:32" ht="13.5" customHeight="1">
      <c r="A6" s="2478"/>
      <c r="B6" s="2540"/>
      <c r="C6" s="2256"/>
      <c r="D6" s="2257"/>
      <c r="E6" s="2257"/>
      <c r="F6" s="2257"/>
      <c r="G6" s="2257"/>
      <c r="H6" s="2257"/>
      <c r="I6" s="2257"/>
      <c r="J6" s="2257"/>
      <c r="K6" s="2257"/>
      <c r="L6" s="2258"/>
      <c r="M6" s="2231"/>
      <c r="N6" s="2231"/>
      <c r="O6" s="806"/>
      <c r="P6" s="2231"/>
      <c r="Q6" s="2231"/>
      <c r="R6" s="2231"/>
      <c r="S6" s="2231"/>
      <c r="T6" s="2231"/>
      <c r="U6" s="2478"/>
      <c r="V6" s="2231"/>
      <c r="W6" s="806"/>
      <c r="X6" s="2231"/>
      <c r="Y6" s="2534" t="s">
        <v>998</v>
      </c>
      <c r="Z6" s="2538" t="s">
        <v>999</v>
      </c>
      <c r="AA6" s="2231"/>
      <c r="AB6" s="2231"/>
      <c r="AC6" s="2231"/>
      <c r="AD6" s="2231"/>
      <c r="AE6" s="2231"/>
      <c r="AF6" s="2231"/>
    </row>
    <row r="7" spans="1:32">
      <c r="A7" s="2478"/>
      <c r="B7" s="2540"/>
      <c r="C7" s="2256"/>
      <c r="D7" s="2257"/>
      <c r="E7" s="2257"/>
      <c r="F7" s="2257"/>
      <c r="G7" s="2257"/>
      <c r="H7" s="2257"/>
      <c r="I7" s="2257"/>
      <c r="J7" s="2257"/>
      <c r="K7" s="2257"/>
      <c r="L7" s="2258"/>
      <c r="M7" s="2231"/>
      <c r="N7" s="2231"/>
      <c r="O7" s="1040"/>
      <c r="P7" s="2231"/>
      <c r="Q7" s="2231"/>
      <c r="R7" s="2231"/>
      <c r="S7" s="2231"/>
      <c r="T7" s="2231"/>
      <c r="U7" s="2478"/>
      <c r="V7" s="2231"/>
      <c r="W7" s="806" t="s">
        <v>1000</v>
      </c>
      <c r="X7" s="2231"/>
      <c r="Y7" s="2535"/>
      <c r="Z7" s="2539"/>
      <c r="AA7" s="2231"/>
      <c r="AB7" s="2231"/>
      <c r="AC7" s="2231"/>
      <c r="AD7" s="2231"/>
      <c r="AE7" s="2231"/>
      <c r="AF7" s="2231"/>
    </row>
    <row r="8" spans="1:32" ht="27">
      <c r="A8" s="2478"/>
      <c r="B8" s="2540"/>
      <c r="C8" s="2256"/>
      <c r="D8" s="2257"/>
      <c r="E8" s="2257"/>
      <c r="F8" s="2257"/>
      <c r="G8" s="2257"/>
      <c r="H8" s="2257"/>
      <c r="I8" s="2257"/>
      <c r="J8" s="2257"/>
      <c r="K8" s="2257"/>
      <c r="L8" s="2258"/>
      <c r="M8" s="2231"/>
      <c r="N8" s="2231"/>
      <c r="O8" s="1037" t="s">
        <v>1001</v>
      </c>
      <c r="P8" s="2231"/>
      <c r="Q8" s="806" t="s">
        <v>1002</v>
      </c>
      <c r="R8" s="2231"/>
      <c r="S8" s="2231"/>
      <c r="T8" s="2231"/>
      <c r="U8" s="2478"/>
      <c r="V8" s="2231"/>
      <c r="W8" s="806" t="s">
        <v>1003</v>
      </c>
      <c r="X8" s="806"/>
      <c r="Y8" s="2535"/>
      <c r="Z8" s="2539"/>
      <c r="AA8" s="2231"/>
      <c r="AB8" s="880" t="s">
        <v>1004</v>
      </c>
      <c r="AC8" s="2231"/>
      <c r="AD8" s="2231"/>
      <c r="AE8" s="2231"/>
      <c r="AF8" s="2231"/>
    </row>
    <row r="9" spans="1:32" ht="13.5" customHeight="1">
      <c r="A9" s="2478"/>
      <c r="B9" s="2540"/>
      <c r="C9" s="2256"/>
      <c r="D9" s="2257"/>
      <c r="E9" s="2257"/>
      <c r="F9" s="2257"/>
      <c r="G9" s="2257"/>
      <c r="H9" s="2257"/>
      <c r="I9" s="2257"/>
      <c r="J9" s="2257"/>
      <c r="K9" s="2257"/>
      <c r="L9" s="2258"/>
      <c r="M9" s="2231"/>
      <c r="N9" s="2231"/>
      <c r="O9" s="1037" t="s">
        <v>1005</v>
      </c>
      <c r="P9" s="2231"/>
      <c r="Q9" s="806"/>
      <c r="R9" s="2231"/>
      <c r="S9" s="2231"/>
      <c r="T9" s="2231"/>
      <c r="U9" s="2478"/>
      <c r="V9" s="2231"/>
      <c r="W9" s="2527" t="s">
        <v>1006</v>
      </c>
      <c r="X9" s="806" t="s">
        <v>1007</v>
      </c>
      <c r="Y9" s="2535"/>
      <c r="Z9" s="2539"/>
      <c r="AA9" s="677"/>
      <c r="AB9" s="806" t="s">
        <v>1008</v>
      </c>
      <c r="AC9" s="2231"/>
      <c r="AD9" s="2231"/>
      <c r="AE9" s="2231"/>
      <c r="AF9" s="806"/>
    </row>
    <row r="10" spans="1:32" ht="54">
      <c r="A10" s="2478"/>
      <c r="B10" s="2540"/>
      <c r="C10" s="2256"/>
      <c r="D10" s="2257"/>
      <c r="E10" s="2257"/>
      <c r="F10" s="2257"/>
      <c r="G10" s="2257"/>
      <c r="H10" s="2257"/>
      <c r="I10" s="2257"/>
      <c r="J10" s="2257"/>
      <c r="K10" s="2257"/>
      <c r="L10" s="2258"/>
      <c r="M10" s="806"/>
      <c r="N10" s="2231"/>
      <c r="O10" s="1040" t="s">
        <v>1009</v>
      </c>
      <c r="P10" s="806"/>
      <c r="Q10" s="806" t="s">
        <v>1010</v>
      </c>
      <c r="R10" s="2231"/>
      <c r="S10" s="2231"/>
      <c r="T10" s="2231"/>
      <c r="U10" s="2478"/>
      <c r="V10" s="2231"/>
      <c r="W10" s="2527"/>
      <c r="X10" s="806" t="s">
        <v>1011</v>
      </c>
      <c r="Y10" s="2535"/>
      <c r="Z10" s="2539"/>
      <c r="AA10" s="677"/>
      <c r="AB10" s="806" t="s">
        <v>1012</v>
      </c>
      <c r="AC10" s="2231"/>
      <c r="AD10" s="2231"/>
      <c r="AE10" s="2231"/>
      <c r="AF10" s="806" t="s">
        <v>1013</v>
      </c>
    </row>
    <row r="11" spans="1:32" ht="13.5" customHeight="1">
      <c r="A11" s="2478"/>
      <c r="B11" s="2540"/>
      <c r="C11" s="2256"/>
      <c r="D11" s="2257"/>
      <c r="E11" s="2257"/>
      <c r="F11" s="2257"/>
      <c r="G11" s="2257"/>
      <c r="H11" s="2257"/>
      <c r="I11" s="2257"/>
      <c r="J11" s="2257"/>
      <c r="K11" s="2257"/>
      <c r="L11" s="2258"/>
      <c r="M11" s="806"/>
      <c r="N11" s="2231"/>
      <c r="O11" s="1037" t="s">
        <v>1014</v>
      </c>
      <c r="P11" s="806"/>
      <c r="Q11" s="2231" t="s">
        <v>1015</v>
      </c>
      <c r="R11" s="1044"/>
      <c r="S11" s="1044"/>
      <c r="T11" s="1044"/>
      <c r="U11" s="2478"/>
      <c r="V11" s="2231"/>
      <c r="W11" s="2231" t="s">
        <v>1016</v>
      </c>
      <c r="X11" s="806" t="s">
        <v>1017</v>
      </c>
      <c r="Y11" s="2535"/>
      <c r="Z11" s="2539"/>
      <c r="AA11" s="677"/>
      <c r="AB11" s="806" t="s">
        <v>1018</v>
      </c>
      <c r="AC11" s="2231"/>
      <c r="AD11" s="2231"/>
      <c r="AE11" s="2231"/>
      <c r="AF11" s="2231" t="s">
        <v>1019</v>
      </c>
    </row>
    <row r="12" spans="1:32" ht="27">
      <c r="A12" s="2478"/>
      <c r="B12" s="2540"/>
      <c r="C12" s="2256"/>
      <c r="D12" s="2257"/>
      <c r="E12" s="2257"/>
      <c r="F12" s="2257"/>
      <c r="G12" s="2257"/>
      <c r="H12" s="2257"/>
      <c r="I12" s="2257"/>
      <c r="J12" s="2257"/>
      <c r="K12" s="2257"/>
      <c r="L12" s="2258"/>
      <c r="M12" s="806"/>
      <c r="N12" s="2231"/>
      <c r="O12" s="1037" t="s">
        <v>1020</v>
      </c>
      <c r="P12" s="806"/>
      <c r="Q12" s="2231"/>
      <c r="R12" s="1044"/>
      <c r="S12" s="1044"/>
      <c r="T12" s="1044"/>
      <c r="U12" s="2478"/>
      <c r="V12" s="2231"/>
      <c r="W12" s="2231"/>
      <c r="X12" s="806" t="s">
        <v>1021</v>
      </c>
      <c r="Y12" s="2535"/>
      <c r="Z12" s="2539"/>
      <c r="AA12" s="677"/>
      <c r="AB12" s="806" t="s">
        <v>1022</v>
      </c>
      <c r="AC12" s="2231"/>
      <c r="AD12" s="2231"/>
      <c r="AE12" s="2231"/>
      <c r="AF12" s="2231"/>
    </row>
    <row r="13" spans="1:32">
      <c r="A13" s="2478"/>
      <c r="B13" s="2540"/>
      <c r="C13" s="2256"/>
      <c r="D13" s="2257"/>
      <c r="E13" s="2257"/>
      <c r="F13" s="2257"/>
      <c r="G13" s="2257"/>
      <c r="H13" s="2257"/>
      <c r="I13" s="2257"/>
      <c r="J13" s="2257"/>
      <c r="K13" s="2257"/>
      <c r="L13" s="2258"/>
      <c r="M13" s="1588" t="s">
        <v>976</v>
      </c>
      <c r="N13" s="769"/>
      <c r="O13" s="1037" t="s">
        <v>1023</v>
      </c>
      <c r="P13" s="1039" t="str">
        <f>CONCATENATE("1. Sim ► (",V2,"0)")</f>
        <v>1. Sim ► (6,10)</v>
      </c>
      <c r="Q13" s="806"/>
      <c r="R13" s="1588" t="s">
        <v>109</v>
      </c>
      <c r="S13" s="1588" t="s">
        <v>109</v>
      </c>
      <c r="T13" s="1588" t="s">
        <v>106</v>
      </c>
      <c r="U13" s="2478"/>
      <c r="V13" s="2231"/>
      <c r="W13" s="806" t="s">
        <v>1024</v>
      </c>
      <c r="X13" s="806" t="s">
        <v>1025</v>
      </c>
      <c r="Y13" s="677"/>
      <c r="Z13" s="2539"/>
      <c r="AA13" s="677"/>
      <c r="AB13" s="806" t="s">
        <v>1026</v>
      </c>
      <c r="AC13" s="2231"/>
      <c r="AD13" s="2231"/>
      <c r="AE13" s="2231"/>
      <c r="AF13" s="677"/>
    </row>
    <row r="14" spans="1:32" ht="27" customHeight="1">
      <c r="A14" s="2478"/>
      <c r="B14" s="2540"/>
      <c r="C14" s="2546" t="s">
        <v>1027</v>
      </c>
      <c r="D14" s="2547"/>
      <c r="E14" s="2547"/>
      <c r="F14" s="2547"/>
      <c r="G14" s="2547"/>
      <c r="H14" s="2547"/>
      <c r="I14" s="2547"/>
      <c r="J14" s="2547"/>
      <c r="K14" s="2547"/>
      <c r="L14" s="2548"/>
      <c r="M14" s="1044" t="s">
        <v>110</v>
      </c>
      <c r="N14" s="1589" t="str">
        <f>CONCATENATE("1. Sim ►(",P2,")")</f>
        <v>1. Sim ►(6,05)</v>
      </c>
      <c r="O14" s="1037" t="s">
        <v>1028</v>
      </c>
      <c r="P14" s="806" t="s">
        <v>110</v>
      </c>
      <c r="Q14" s="806" t="s">
        <v>1029</v>
      </c>
      <c r="R14" s="806" t="s">
        <v>110</v>
      </c>
      <c r="S14" s="806" t="s">
        <v>110</v>
      </c>
      <c r="T14" s="2231" t="s">
        <v>1030</v>
      </c>
      <c r="U14" s="2478"/>
      <c r="V14" s="2258"/>
      <c r="W14" s="2231" t="s">
        <v>1031</v>
      </c>
      <c r="X14" s="806" t="s">
        <v>1032</v>
      </c>
      <c r="Y14" s="677"/>
      <c r="Z14" s="677"/>
      <c r="AA14" s="677"/>
      <c r="AB14" s="806" t="s">
        <v>1033</v>
      </c>
      <c r="AC14" s="2231"/>
      <c r="AD14" s="2231"/>
      <c r="AE14" s="2231"/>
      <c r="AF14" s="806" t="s">
        <v>1034</v>
      </c>
    </row>
    <row r="15" spans="1:32" ht="27" customHeight="1">
      <c r="A15" s="2478"/>
      <c r="B15" s="2540"/>
      <c r="C15" s="2542" t="s">
        <v>1035</v>
      </c>
      <c r="D15" s="2542"/>
      <c r="E15" s="2528" t="s">
        <v>1036</v>
      </c>
      <c r="F15" s="2529"/>
      <c r="G15" s="2528" t="s">
        <v>1037</v>
      </c>
      <c r="H15" s="2529"/>
      <c r="I15" s="2528" t="s">
        <v>1038</v>
      </c>
      <c r="J15" s="2529"/>
      <c r="K15" s="2528" t="s">
        <v>1039</v>
      </c>
      <c r="L15" s="2529"/>
      <c r="M15" s="1044"/>
      <c r="N15" s="1044" t="s">
        <v>110</v>
      </c>
      <c r="O15" s="1037" t="s">
        <v>1040</v>
      </c>
      <c r="P15" s="806"/>
      <c r="Q15" s="806"/>
      <c r="R15" s="806"/>
      <c r="S15" s="806"/>
      <c r="T15" s="2231"/>
      <c r="U15" s="2478"/>
      <c r="V15" s="2258"/>
      <c r="W15" s="2231"/>
      <c r="X15" s="806" t="s">
        <v>1041</v>
      </c>
      <c r="Y15" s="677"/>
      <c r="Z15" s="677"/>
      <c r="AA15" s="677"/>
      <c r="AB15" s="677" t="str">
        <f>CONCATENATE("7. Não especificado ►(",TEXT(AF2,"0,00"),")")</f>
        <v>7. Não especificado ►(6,19)</v>
      </c>
      <c r="AC15" s="2231"/>
      <c r="AD15" s="2231"/>
      <c r="AE15" s="2231"/>
      <c r="AF15" s="766"/>
    </row>
    <row r="16" spans="1:32" ht="40.5" customHeight="1">
      <c r="A16" s="2478"/>
      <c r="B16" s="2540"/>
      <c r="C16" s="2543"/>
      <c r="D16" s="2543"/>
      <c r="E16" s="2530"/>
      <c r="F16" s="2531"/>
      <c r="G16" s="2530"/>
      <c r="H16" s="2531"/>
      <c r="I16" s="2530"/>
      <c r="J16" s="2531"/>
      <c r="K16" s="2530"/>
      <c r="L16" s="2531"/>
      <c r="M16" s="1590"/>
      <c r="N16" s="1590"/>
      <c r="O16" s="2527" t="s">
        <v>1042</v>
      </c>
      <c r="P16" s="1590"/>
      <c r="Q16" s="806" t="s">
        <v>1043</v>
      </c>
      <c r="R16" s="806"/>
      <c r="S16" s="806"/>
      <c r="T16" s="2231"/>
      <c r="U16" s="2478"/>
      <c r="V16" s="1590"/>
      <c r="W16" s="2231"/>
      <c r="X16" s="806" t="s">
        <v>1044</v>
      </c>
      <c r="Y16" s="1590"/>
      <c r="Z16" s="1590"/>
      <c r="AA16" s="1590"/>
      <c r="AB16" s="769"/>
      <c r="AC16" s="1590"/>
      <c r="AD16" s="1590"/>
      <c r="AE16" s="1590"/>
      <c r="AF16" s="806" t="s">
        <v>1045</v>
      </c>
    </row>
    <row r="17" spans="1:32" ht="40.5">
      <c r="A17" s="2478"/>
      <c r="B17" s="2540"/>
      <c r="C17" s="2543"/>
      <c r="D17" s="2543"/>
      <c r="E17" s="2530"/>
      <c r="F17" s="2531"/>
      <c r="G17" s="2530"/>
      <c r="H17" s="2531"/>
      <c r="I17" s="2530"/>
      <c r="J17" s="2531"/>
      <c r="K17" s="2530"/>
      <c r="L17" s="2531"/>
      <c r="M17" s="806"/>
      <c r="N17" s="806"/>
      <c r="O17" s="2527"/>
      <c r="P17" s="1591"/>
      <c r="Q17" s="806" t="s">
        <v>1046</v>
      </c>
      <c r="R17" s="1037"/>
      <c r="S17" s="1037"/>
      <c r="T17" s="806"/>
      <c r="U17" s="2478"/>
      <c r="V17" s="1611" t="s">
        <v>1047</v>
      </c>
      <c r="W17" s="806" t="s">
        <v>1048</v>
      </c>
      <c r="X17" s="806" t="s">
        <v>1049</v>
      </c>
      <c r="Y17" s="806"/>
      <c r="Z17" s="806"/>
      <c r="AA17" s="806"/>
      <c r="AB17" s="677"/>
      <c r="AC17" s="806"/>
      <c r="AD17" s="806"/>
      <c r="AE17" s="806"/>
      <c r="AF17" s="766"/>
    </row>
    <row r="18" spans="1:32" ht="27">
      <c r="A18" s="2478"/>
      <c r="B18" s="2540"/>
      <c r="C18" s="2543"/>
      <c r="D18" s="2543"/>
      <c r="E18" s="2530"/>
      <c r="F18" s="2531"/>
      <c r="G18" s="2530"/>
      <c r="H18" s="2531"/>
      <c r="I18" s="2530"/>
      <c r="J18" s="2531"/>
      <c r="K18" s="2530"/>
      <c r="L18" s="2531"/>
      <c r="M18" s="1592"/>
      <c r="N18" s="1592"/>
      <c r="O18" s="1037" t="s">
        <v>1050</v>
      </c>
      <c r="P18" s="1592"/>
      <c r="Q18" s="769"/>
      <c r="R18" s="1592"/>
      <c r="S18" s="1592"/>
      <c r="T18" s="1592"/>
      <c r="U18" s="2478"/>
      <c r="V18" s="1559"/>
      <c r="W18" s="806" t="s">
        <v>1051</v>
      </c>
      <c r="X18" s="1559"/>
      <c r="Y18" s="1559"/>
      <c r="Z18" s="1559"/>
      <c r="AA18" s="1559"/>
      <c r="AB18" s="1559"/>
      <c r="AC18" s="1559"/>
      <c r="AD18" s="1559"/>
      <c r="AE18" s="1559"/>
      <c r="AF18" s="766"/>
    </row>
    <row r="19" spans="1:32">
      <c r="A19" s="2478"/>
      <c r="B19" s="2540"/>
      <c r="C19" s="2543"/>
      <c r="D19" s="2543"/>
      <c r="E19" s="2530"/>
      <c r="F19" s="2531"/>
      <c r="G19" s="2530"/>
      <c r="H19" s="2531"/>
      <c r="I19" s="2530"/>
      <c r="J19" s="2531"/>
      <c r="K19" s="2530"/>
      <c r="L19" s="2531"/>
      <c r="M19" s="806"/>
      <c r="N19" s="806"/>
      <c r="O19" s="1037"/>
      <c r="P19" s="806"/>
      <c r="Q19" s="806"/>
      <c r="R19" s="806"/>
      <c r="S19" s="806"/>
      <c r="T19" s="1040"/>
      <c r="U19" s="2478"/>
      <c r="V19" s="1037"/>
      <c r="W19" s="806" t="s">
        <v>1052</v>
      </c>
      <c r="X19" s="1037"/>
      <c r="Y19" s="1037"/>
      <c r="Z19" s="1037"/>
      <c r="AA19" s="1037"/>
      <c r="AB19" s="1037"/>
      <c r="AC19" s="1037"/>
      <c r="AD19" s="1037"/>
      <c r="AE19" s="1037"/>
      <c r="AF19" s="766"/>
    </row>
    <row r="20" spans="1:32">
      <c r="A20" s="2478"/>
      <c r="B20" s="2540"/>
      <c r="C20" s="2543"/>
      <c r="D20" s="2543"/>
      <c r="E20" s="2532"/>
      <c r="F20" s="2533"/>
      <c r="G20" s="2532"/>
      <c r="H20" s="2533"/>
      <c r="I20" s="2530"/>
      <c r="J20" s="2531"/>
      <c r="K20" s="2530"/>
      <c r="L20" s="2531"/>
      <c r="M20" s="806"/>
      <c r="N20" s="806"/>
      <c r="O20" s="1593" t="str">
        <f>CONCATENATE("►► (",TEXT(R2,"0,00"),")")</f>
        <v>►► (6,07)</v>
      </c>
      <c r="P20" s="806"/>
      <c r="Q20" s="1037"/>
      <c r="R20" s="806"/>
      <c r="S20" s="806"/>
      <c r="T20" s="1040"/>
      <c r="U20" s="2478"/>
      <c r="V20" s="1037"/>
      <c r="W20" s="806" t="s">
        <v>1053</v>
      </c>
      <c r="X20" s="1037"/>
      <c r="Y20" s="1037"/>
      <c r="Z20" s="1037"/>
      <c r="AA20" s="1037"/>
      <c r="AB20" s="1037"/>
      <c r="AC20" s="1037"/>
      <c r="AD20" s="1037"/>
      <c r="AE20" s="1037"/>
      <c r="AF20" s="1594"/>
    </row>
    <row r="21" spans="1:32" ht="14.25" customHeight="1" thickBot="1">
      <c r="A21" s="2479"/>
      <c r="B21" s="2541"/>
      <c r="C21" s="2518" t="s">
        <v>420</v>
      </c>
      <c r="D21" s="2518"/>
      <c r="E21" s="2518" t="s">
        <v>420</v>
      </c>
      <c r="F21" s="2518"/>
      <c r="G21" s="2518" t="s">
        <v>420</v>
      </c>
      <c r="H21" s="2518"/>
      <c r="I21" s="2553" t="s">
        <v>420</v>
      </c>
      <c r="J21" s="2554"/>
      <c r="K21" s="2553" t="s">
        <v>420</v>
      </c>
      <c r="L21" s="2555"/>
      <c r="M21" s="1595" t="s">
        <v>420</v>
      </c>
      <c r="N21" s="1595" t="s">
        <v>420</v>
      </c>
      <c r="O21" s="1595" t="s">
        <v>420</v>
      </c>
      <c r="P21" s="1595" t="s">
        <v>420</v>
      </c>
      <c r="Q21" s="1595" t="s">
        <v>420</v>
      </c>
      <c r="R21" s="1595"/>
      <c r="S21" s="1595"/>
      <c r="T21" s="1595" t="s">
        <v>420</v>
      </c>
      <c r="U21" s="2479"/>
      <c r="V21" s="1596" t="s">
        <v>426</v>
      </c>
      <c r="W21" s="1596" t="s">
        <v>420</v>
      </c>
      <c r="X21" s="1596" t="s">
        <v>420</v>
      </c>
      <c r="Y21" s="1596" t="s">
        <v>421</v>
      </c>
      <c r="Z21" s="1596" t="s">
        <v>422</v>
      </c>
      <c r="AA21" s="1596" t="s">
        <v>1054</v>
      </c>
      <c r="AB21" s="1596" t="s">
        <v>420</v>
      </c>
      <c r="AC21" s="1596" t="s">
        <v>426</v>
      </c>
      <c r="AD21" s="1596" t="s">
        <v>1054</v>
      </c>
      <c r="AE21" s="1596" t="s">
        <v>426</v>
      </c>
      <c r="AF21" s="1596" t="s">
        <v>420</v>
      </c>
    </row>
    <row r="22" spans="1:32" ht="14.25" thickTop="1">
      <c r="A22" s="1570">
        <v>1</v>
      </c>
      <c r="B22" s="1571"/>
      <c r="C22" s="2549"/>
      <c r="D22" s="2550"/>
      <c r="E22" s="2549"/>
      <c r="F22" s="2550"/>
      <c r="G22" s="1597"/>
      <c r="H22" s="1597"/>
      <c r="I22" s="2549"/>
      <c r="J22" s="2550"/>
      <c r="K22" s="2549"/>
      <c r="L22" s="2550"/>
      <c r="M22" s="1574"/>
      <c r="N22" s="1574"/>
      <c r="O22" s="1574"/>
      <c r="P22" s="1574"/>
      <c r="Q22" s="1574"/>
      <c r="R22" s="1574"/>
      <c r="S22" s="1574"/>
      <c r="T22" s="1574"/>
      <c r="U22" s="1570">
        <v>1</v>
      </c>
      <c r="V22" s="1598"/>
      <c r="W22" s="867"/>
      <c r="X22" s="867"/>
      <c r="Y22" s="867"/>
      <c r="Z22" s="867"/>
      <c r="AA22" s="868"/>
      <c r="AB22" s="867"/>
      <c r="AC22" s="867"/>
      <c r="AD22" s="867"/>
      <c r="AE22" s="867"/>
      <c r="AF22" s="867"/>
    </row>
    <row r="23" spans="1:32">
      <c r="A23" s="1576">
        <v>2</v>
      </c>
      <c r="B23" s="1577"/>
      <c r="C23" s="2551"/>
      <c r="D23" s="2552"/>
      <c r="E23" s="2551"/>
      <c r="F23" s="2552"/>
      <c r="G23" s="1599"/>
      <c r="H23" s="1599"/>
      <c r="I23" s="2551"/>
      <c r="J23" s="2552"/>
      <c r="K23" s="2551"/>
      <c r="L23" s="2552"/>
      <c r="M23" s="1266"/>
      <c r="N23" s="1266"/>
      <c r="O23" s="1266"/>
      <c r="P23" s="1266"/>
      <c r="Q23" s="1266"/>
      <c r="R23" s="1266"/>
      <c r="S23" s="1266"/>
      <c r="T23" s="1266"/>
      <c r="U23" s="1576">
        <v>2</v>
      </c>
      <c r="V23" s="1600"/>
      <c r="W23" s="868"/>
      <c r="X23" s="868"/>
      <c r="Y23" s="868"/>
      <c r="Z23" s="868"/>
      <c r="AA23" s="678"/>
      <c r="AB23" s="868"/>
      <c r="AC23" s="868"/>
      <c r="AD23" s="868"/>
      <c r="AE23" s="868"/>
      <c r="AF23" s="868"/>
    </row>
    <row r="24" spans="1:32">
      <c r="A24" s="1581">
        <v>3</v>
      </c>
      <c r="B24" s="1577"/>
      <c r="C24" s="2551"/>
      <c r="D24" s="2552"/>
      <c r="E24" s="2551"/>
      <c r="F24" s="2552"/>
      <c r="G24" s="1599"/>
      <c r="H24" s="1599"/>
      <c r="I24" s="2551"/>
      <c r="J24" s="2552"/>
      <c r="K24" s="2551"/>
      <c r="L24" s="2552"/>
      <c r="M24" s="1266"/>
      <c r="N24" s="1266"/>
      <c r="O24" s="1266"/>
      <c r="P24" s="1266"/>
      <c r="Q24" s="1266"/>
      <c r="R24" s="1266"/>
      <c r="S24" s="1266"/>
      <c r="T24" s="1266"/>
      <c r="U24" s="1581">
        <v>3</v>
      </c>
      <c r="V24" s="1600"/>
      <c r="W24" s="868"/>
      <c r="X24" s="868"/>
      <c r="Y24" s="868"/>
      <c r="Z24" s="868"/>
      <c r="AA24" s="868"/>
      <c r="AB24" s="868"/>
      <c r="AC24" s="868"/>
      <c r="AD24" s="868"/>
      <c r="AE24" s="868"/>
      <c r="AF24" s="868"/>
    </row>
    <row r="25" spans="1:32">
      <c r="A25" s="1581">
        <v>4</v>
      </c>
      <c r="B25" s="1577"/>
      <c r="C25" s="2551"/>
      <c r="D25" s="2552"/>
      <c r="E25" s="2551"/>
      <c r="F25" s="2552"/>
      <c r="G25" s="1599"/>
      <c r="H25" s="1599"/>
      <c r="I25" s="2551"/>
      <c r="J25" s="2552"/>
      <c r="K25" s="2551"/>
      <c r="L25" s="2552"/>
      <c r="M25" s="1266"/>
      <c r="N25" s="1266"/>
      <c r="O25" s="1266"/>
      <c r="P25" s="1266"/>
      <c r="Q25" s="1266"/>
      <c r="R25" s="1266"/>
      <c r="S25" s="1266"/>
      <c r="T25" s="1266"/>
      <c r="U25" s="1581">
        <v>4</v>
      </c>
      <c r="V25" s="1600"/>
      <c r="W25" s="868"/>
      <c r="X25" s="868"/>
      <c r="Y25" s="868"/>
      <c r="Z25" s="868"/>
      <c r="AA25" s="868"/>
      <c r="AB25" s="868"/>
      <c r="AC25" s="868"/>
      <c r="AD25" s="868"/>
      <c r="AE25" s="868"/>
      <c r="AF25" s="868"/>
    </row>
    <row r="26" spans="1:32" ht="14.25" thickBot="1">
      <c r="A26" s="1582">
        <v>5</v>
      </c>
      <c r="B26" s="1577"/>
      <c r="C26" s="2525"/>
      <c r="D26" s="2526"/>
      <c r="E26" s="2525"/>
      <c r="F26" s="2526"/>
      <c r="G26" s="1601"/>
      <c r="H26" s="1601"/>
      <c r="I26" s="2525"/>
      <c r="J26" s="2526"/>
      <c r="K26" s="2525"/>
      <c r="L26" s="2526"/>
      <c r="M26" s="1602"/>
      <c r="N26" s="1602"/>
      <c r="O26" s="1602"/>
      <c r="P26" s="1602"/>
      <c r="Q26" s="1602"/>
      <c r="R26" s="1602"/>
      <c r="S26" s="1602"/>
      <c r="T26" s="1602"/>
      <c r="U26" s="1582">
        <v>5</v>
      </c>
      <c r="V26" s="1602"/>
      <c r="W26" s="1602"/>
      <c r="X26" s="1602"/>
      <c r="Y26" s="1602"/>
      <c r="Z26" s="1602"/>
      <c r="AA26" s="1602"/>
      <c r="AB26" s="1602"/>
      <c r="AC26" s="1602"/>
      <c r="AD26" s="1602"/>
      <c r="AE26" s="1602"/>
      <c r="AF26" s="1602"/>
    </row>
    <row r="27" spans="1:32" ht="14.25" thickTop="1">
      <c r="A27" s="1570">
        <v>6</v>
      </c>
      <c r="B27" s="1583"/>
      <c r="C27" s="2523"/>
      <c r="D27" s="2524"/>
      <c r="E27" s="2523"/>
      <c r="F27" s="2524"/>
      <c r="G27" s="1603"/>
      <c r="H27" s="1603"/>
      <c r="I27" s="2523"/>
      <c r="J27" s="2524"/>
      <c r="K27" s="2523"/>
      <c r="L27" s="2524"/>
      <c r="M27" s="1604"/>
      <c r="N27" s="1604"/>
      <c r="O27" s="1604"/>
      <c r="P27" s="1604"/>
      <c r="Q27" s="1604"/>
      <c r="R27" s="1604"/>
      <c r="S27" s="1604"/>
      <c r="T27" s="1604"/>
      <c r="U27" s="1570">
        <v>6</v>
      </c>
      <c r="V27" s="1604"/>
      <c r="W27" s="1604"/>
      <c r="X27" s="1604"/>
      <c r="Y27" s="1604"/>
      <c r="Z27" s="1604"/>
      <c r="AA27" s="1604"/>
      <c r="AB27" s="1604"/>
      <c r="AC27" s="1604"/>
      <c r="AD27" s="1604"/>
      <c r="AE27" s="1604"/>
      <c r="AF27" s="1604"/>
    </row>
    <row r="28" spans="1:32">
      <c r="A28" s="1581">
        <v>7</v>
      </c>
      <c r="B28" s="1584"/>
      <c r="C28" s="2516"/>
      <c r="D28" s="2517"/>
      <c r="E28" s="2516"/>
      <c r="F28" s="2517"/>
      <c r="G28" s="1605"/>
      <c r="H28" s="1605"/>
      <c r="I28" s="2516"/>
      <c r="J28" s="2517"/>
      <c r="K28" s="2516"/>
      <c r="L28" s="2517"/>
      <c r="M28" s="1606"/>
      <c r="N28" s="1606"/>
      <c r="O28" s="1606"/>
      <c r="P28" s="1606"/>
      <c r="Q28" s="1606"/>
      <c r="R28" s="1606"/>
      <c r="S28" s="1606"/>
      <c r="T28" s="1606"/>
      <c r="U28" s="1581">
        <v>7</v>
      </c>
      <c r="V28" s="1606"/>
      <c r="W28" s="1606"/>
      <c r="X28" s="1606"/>
      <c r="Y28" s="1606"/>
      <c r="Z28" s="1606"/>
      <c r="AA28" s="1606"/>
      <c r="AB28" s="1606"/>
      <c r="AC28" s="1606"/>
      <c r="AD28" s="1606"/>
      <c r="AE28" s="1606"/>
      <c r="AF28" s="1606"/>
    </row>
    <row r="29" spans="1:32">
      <c r="A29" s="1581">
        <v>8</v>
      </c>
      <c r="B29" s="1577"/>
      <c r="C29" s="2516"/>
      <c r="D29" s="2517"/>
      <c r="E29" s="2516"/>
      <c r="F29" s="2517"/>
      <c r="G29" s="1605"/>
      <c r="H29" s="1605"/>
      <c r="I29" s="2516"/>
      <c r="J29" s="2517"/>
      <c r="K29" s="2516"/>
      <c r="L29" s="2517"/>
      <c r="M29" s="1606"/>
      <c r="N29" s="1606"/>
      <c r="O29" s="1606"/>
      <c r="P29" s="1606"/>
      <c r="Q29" s="1606"/>
      <c r="R29" s="1606"/>
      <c r="S29" s="1606"/>
      <c r="T29" s="1606"/>
      <c r="U29" s="1581">
        <v>8</v>
      </c>
      <c r="V29" s="1606"/>
      <c r="W29" s="1606"/>
      <c r="X29" s="1606"/>
      <c r="Y29" s="1606"/>
      <c r="Z29" s="1606"/>
      <c r="AA29" s="1606"/>
      <c r="AB29" s="1606"/>
      <c r="AC29" s="1606"/>
      <c r="AD29" s="1606"/>
      <c r="AE29" s="1606"/>
      <c r="AF29" s="1606"/>
    </row>
    <row r="30" spans="1:32">
      <c r="A30" s="1581">
        <v>9</v>
      </c>
      <c r="B30" s="1577"/>
      <c r="C30" s="2516"/>
      <c r="D30" s="2517"/>
      <c r="E30" s="2516"/>
      <c r="F30" s="2517"/>
      <c r="G30" s="1605"/>
      <c r="H30" s="1605"/>
      <c r="I30" s="2516"/>
      <c r="J30" s="2517"/>
      <c r="K30" s="2516"/>
      <c r="L30" s="2517"/>
      <c r="M30" s="1606"/>
      <c r="N30" s="1606"/>
      <c r="O30" s="1606"/>
      <c r="P30" s="1606"/>
      <c r="Q30" s="1606"/>
      <c r="R30" s="1606"/>
      <c r="S30" s="1606"/>
      <c r="T30" s="1606"/>
      <c r="U30" s="1581">
        <v>9</v>
      </c>
      <c r="V30" s="1606"/>
      <c r="W30" s="1606"/>
      <c r="X30" s="1606"/>
      <c r="Y30" s="1606"/>
      <c r="Z30" s="1606"/>
      <c r="AA30" s="1606"/>
      <c r="AB30" s="1606"/>
      <c r="AC30" s="1606"/>
      <c r="AD30" s="1606"/>
      <c r="AE30" s="1606"/>
      <c r="AF30" s="1606"/>
    </row>
    <row r="31" spans="1:32" ht="14.25" thickBot="1">
      <c r="A31" s="1585">
        <v>10</v>
      </c>
      <c r="B31" s="1586"/>
      <c r="C31" s="2519"/>
      <c r="D31" s="2520"/>
      <c r="E31" s="2519"/>
      <c r="F31" s="2520"/>
      <c r="G31" s="1607"/>
      <c r="H31" s="1607"/>
      <c r="I31" s="2519"/>
      <c r="J31" s="2520"/>
      <c r="K31" s="2519"/>
      <c r="L31" s="2520"/>
      <c r="M31" s="1608"/>
      <c r="N31" s="1608"/>
      <c r="O31" s="1608"/>
      <c r="P31" s="1608"/>
      <c r="Q31" s="1608"/>
      <c r="R31" s="1608"/>
      <c r="S31" s="1608"/>
      <c r="T31" s="1608"/>
      <c r="U31" s="1585">
        <v>10</v>
      </c>
      <c r="V31" s="1608"/>
      <c r="W31" s="1608"/>
      <c r="X31" s="1608"/>
      <c r="Y31" s="1608"/>
      <c r="Z31" s="1608"/>
      <c r="AA31" s="1608"/>
      <c r="AB31" s="1608"/>
      <c r="AC31" s="1608"/>
      <c r="AD31" s="1608"/>
      <c r="AE31" s="1608"/>
      <c r="AF31" s="1608"/>
    </row>
    <row r="32" spans="1:32" ht="14.25" thickTop="1">
      <c r="A32" s="1576">
        <v>11</v>
      </c>
      <c r="B32" s="1571"/>
      <c r="C32" s="2521"/>
      <c r="D32" s="2522"/>
      <c r="E32" s="2521"/>
      <c r="F32" s="2522"/>
      <c r="G32" s="1609"/>
      <c r="H32" s="1609"/>
      <c r="I32" s="2521"/>
      <c r="J32" s="2522"/>
      <c r="K32" s="2521"/>
      <c r="L32" s="2522"/>
      <c r="M32" s="1610"/>
      <c r="N32" s="1610"/>
      <c r="O32" s="1610"/>
      <c r="P32" s="1610"/>
      <c r="Q32" s="1610"/>
      <c r="R32" s="1610"/>
      <c r="S32" s="1610"/>
      <c r="T32" s="1610"/>
      <c r="U32" s="1576">
        <v>11</v>
      </c>
      <c r="V32" s="1610"/>
      <c r="W32" s="1610"/>
      <c r="X32" s="1610"/>
      <c r="Y32" s="1610"/>
      <c r="Z32" s="1610"/>
      <c r="AA32" s="1610"/>
      <c r="AB32" s="1610"/>
      <c r="AC32" s="1610"/>
      <c r="AD32" s="1610"/>
      <c r="AE32" s="1610"/>
      <c r="AF32" s="1610"/>
    </row>
    <row r="33" spans="1:32">
      <c r="A33" s="1581">
        <v>12</v>
      </c>
      <c r="B33" s="1577"/>
      <c r="C33" s="2516"/>
      <c r="D33" s="2517"/>
      <c r="E33" s="2516"/>
      <c r="F33" s="2517"/>
      <c r="G33" s="1605"/>
      <c r="H33" s="1605"/>
      <c r="I33" s="2516"/>
      <c r="J33" s="2517"/>
      <c r="K33" s="2516"/>
      <c r="L33" s="2517"/>
      <c r="M33" s="1606"/>
      <c r="N33" s="1606"/>
      <c r="O33" s="1606"/>
      <c r="P33" s="1606"/>
      <c r="Q33" s="1606"/>
      <c r="R33" s="1606"/>
      <c r="S33" s="1606"/>
      <c r="T33" s="1606"/>
      <c r="U33" s="1581">
        <v>12</v>
      </c>
      <c r="V33" s="1606"/>
      <c r="W33" s="1606"/>
      <c r="X33" s="1606"/>
      <c r="Y33" s="1606"/>
      <c r="Z33" s="1606"/>
      <c r="AA33" s="1606"/>
      <c r="AB33" s="1606"/>
      <c r="AC33" s="1606"/>
      <c r="AD33" s="1606"/>
      <c r="AE33" s="1606"/>
      <c r="AF33" s="1606"/>
    </row>
    <row r="34" spans="1:32">
      <c r="A34" s="1581">
        <v>13</v>
      </c>
      <c r="B34" s="1577"/>
      <c r="C34" s="2516"/>
      <c r="D34" s="2517"/>
      <c r="E34" s="2516"/>
      <c r="F34" s="2517"/>
      <c r="G34" s="1605"/>
      <c r="H34" s="1605"/>
      <c r="I34" s="2516"/>
      <c r="J34" s="2517"/>
      <c r="K34" s="2516"/>
      <c r="L34" s="2517"/>
      <c r="M34" s="1606"/>
      <c r="N34" s="1606"/>
      <c r="O34" s="1606"/>
      <c r="P34" s="1606"/>
      <c r="Q34" s="1606"/>
      <c r="R34" s="1606"/>
      <c r="S34" s="1606"/>
      <c r="T34" s="1606"/>
      <c r="U34" s="1581">
        <v>13</v>
      </c>
      <c r="V34" s="1606"/>
      <c r="W34" s="1606"/>
      <c r="X34" s="1606"/>
      <c r="Y34" s="1606"/>
      <c r="Z34" s="1606"/>
      <c r="AA34" s="1606"/>
      <c r="AB34" s="1606"/>
      <c r="AC34" s="1606"/>
      <c r="AD34" s="1606"/>
      <c r="AE34" s="1606"/>
      <c r="AF34" s="1606"/>
    </row>
    <row r="35" spans="1:32">
      <c r="A35" s="1581">
        <v>14</v>
      </c>
      <c r="B35" s="1577"/>
      <c r="C35" s="2516"/>
      <c r="D35" s="2517"/>
      <c r="E35" s="2516"/>
      <c r="F35" s="2517"/>
      <c r="G35" s="1605"/>
      <c r="H35" s="1605"/>
      <c r="I35" s="2516"/>
      <c r="J35" s="2517"/>
      <c r="K35" s="2516"/>
      <c r="L35" s="2517"/>
      <c r="M35" s="1606"/>
      <c r="N35" s="1606"/>
      <c r="O35" s="1606"/>
      <c r="P35" s="1606"/>
      <c r="Q35" s="1606"/>
      <c r="R35" s="1606"/>
      <c r="S35" s="1606"/>
      <c r="T35" s="1606"/>
      <c r="U35" s="1581">
        <v>14</v>
      </c>
      <c r="V35" s="1606"/>
      <c r="W35" s="1606"/>
      <c r="X35" s="1606"/>
      <c r="Y35" s="1606"/>
      <c r="Z35" s="1606"/>
      <c r="AA35" s="1606"/>
      <c r="AB35" s="1606"/>
      <c r="AC35" s="1606"/>
      <c r="AD35" s="1606"/>
      <c r="AE35" s="1606"/>
      <c r="AF35" s="1606"/>
    </row>
    <row r="36" spans="1:32">
      <c r="A36" s="1581">
        <v>15</v>
      </c>
      <c r="B36" s="1587"/>
      <c r="C36" s="2516"/>
      <c r="D36" s="2517"/>
      <c r="E36" s="2516"/>
      <c r="F36" s="2517"/>
      <c r="G36" s="1605"/>
      <c r="H36" s="1605"/>
      <c r="I36" s="2516"/>
      <c r="J36" s="2517"/>
      <c r="K36" s="2516"/>
      <c r="L36" s="2517"/>
      <c r="M36" s="1606"/>
      <c r="N36" s="1606"/>
      <c r="O36" s="1606"/>
      <c r="P36" s="1606"/>
      <c r="Q36" s="1606"/>
      <c r="R36" s="1606"/>
      <c r="S36" s="1606"/>
      <c r="T36" s="1606"/>
      <c r="U36" s="1581">
        <v>15</v>
      </c>
      <c r="V36" s="1606"/>
      <c r="W36" s="1606"/>
      <c r="X36" s="1606"/>
      <c r="Y36" s="1606"/>
      <c r="Z36" s="1606"/>
      <c r="AA36" s="1606"/>
      <c r="AB36" s="1606"/>
      <c r="AC36" s="1606"/>
      <c r="AD36" s="1606"/>
      <c r="AE36" s="1606"/>
      <c r="AF36" s="1606"/>
    </row>
    <row r="37" spans="1:32">
      <c r="C37" s="534"/>
      <c r="D37" s="534"/>
      <c r="E37" s="534"/>
      <c r="F37" s="534"/>
      <c r="G37" s="534"/>
      <c r="H37" s="534"/>
      <c r="I37" s="534"/>
      <c r="J37" s="534"/>
      <c r="K37" s="534"/>
      <c r="L37" s="534"/>
      <c r="M37" s="534"/>
      <c r="N37" s="534"/>
      <c r="O37" s="534"/>
      <c r="P37" s="534"/>
      <c r="Q37" s="534"/>
      <c r="R37" s="534"/>
      <c r="S37" s="534"/>
      <c r="T37" s="534"/>
      <c r="V37" s="534"/>
      <c r="W37" s="534"/>
      <c r="X37" s="534"/>
      <c r="Y37" s="534"/>
      <c r="Z37" s="534"/>
      <c r="AA37" s="534"/>
      <c r="AB37" s="534"/>
      <c r="AC37" s="534"/>
      <c r="AD37" s="534"/>
      <c r="AE37" s="534"/>
    </row>
    <row r="38" spans="1:32">
      <c r="C38" s="534"/>
      <c r="D38" s="534"/>
      <c r="E38" s="534"/>
      <c r="F38" s="534"/>
      <c r="G38" s="534"/>
      <c r="H38" s="534"/>
      <c r="I38" s="534"/>
      <c r="J38" s="534"/>
      <c r="K38" s="534"/>
      <c r="L38" s="534"/>
      <c r="M38" s="534"/>
      <c r="N38" s="534"/>
      <c r="O38" s="534"/>
      <c r="P38" s="534"/>
      <c r="Q38" s="534"/>
      <c r="R38" s="534"/>
      <c r="S38" s="534"/>
      <c r="T38" s="534"/>
      <c r="V38" s="534"/>
      <c r="W38" s="534"/>
      <c r="X38" s="534"/>
      <c r="Y38" s="534"/>
      <c r="Z38" s="534"/>
      <c r="AA38" s="534"/>
      <c r="AB38" s="534"/>
      <c r="AC38" s="534"/>
      <c r="AD38" s="534"/>
      <c r="AE38" s="534"/>
    </row>
    <row r="39" spans="1:32">
      <c r="C39" s="534"/>
      <c r="D39" s="534"/>
      <c r="E39" s="534"/>
      <c r="F39" s="534"/>
      <c r="G39" s="534"/>
      <c r="H39" s="534"/>
      <c r="I39" s="534"/>
      <c r="J39" s="534"/>
      <c r="K39" s="534"/>
      <c r="L39" s="534"/>
      <c r="M39" s="534"/>
      <c r="N39" s="534"/>
      <c r="O39" s="534"/>
      <c r="P39" s="534"/>
      <c r="Q39" s="534"/>
      <c r="R39" s="534"/>
      <c r="S39" s="534"/>
      <c r="T39" s="534"/>
      <c r="V39" s="534"/>
      <c r="W39" s="534"/>
      <c r="X39" s="534"/>
      <c r="Y39" s="534"/>
      <c r="Z39" s="534"/>
      <c r="AA39" s="534"/>
      <c r="AB39" s="534"/>
      <c r="AC39" s="534"/>
      <c r="AD39" s="534"/>
      <c r="AE39" s="534"/>
    </row>
    <row r="40" spans="1:32">
      <c r="C40" s="534"/>
      <c r="D40" s="534"/>
      <c r="E40" s="534"/>
      <c r="F40" s="534"/>
      <c r="G40" s="534"/>
      <c r="H40" s="534"/>
      <c r="I40" s="534"/>
      <c r="J40" s="534"/>
      <c r="K40" s="534"/>
      <c r="L40" s="534"/>
      <c r="M40" s="534"/>
      <c r="N40" s="534"/>
      <c r="O40" s="534"/>
      <c r="P40" s="534"/>
      <c r="Q40" s="534"/>
      <c r="R40" s="534"/>
      <c r="S40" s="534"/>
      <c r="T40" s="534"/>
      <c r="V40" s="534"/>
      <c r="W40" s="534"/>
      <c r="X40" s="534"/>
      <c r="Y40" s="534"/>
      <c r="Z40" s="534"/>
      <c r="AA40" s="534"/>
      <c r="AB40" s="534"/>
      <c r="AC40" s="534"/>
      <c r="AD40" s="534"/>
      <c r="AE40" s="534"/>
    </row>
    <row r="41" spans="1:32">
      <c r="C41" s="534"/>
      <c r="D41" s="534"/>
      <c r="E41" s="534"/>
      <c r="F41" s="534"/>
      <c r="G41" s="534"/>
      <c r="H41" s="534"/>
      <c r="I41" s="534"/>
      <c r="J41" s="534"/>
      <c r="K41" s="534"/>
      <c r="L41" s="534"/>
      <c r="M41" s="534"/>
      <c r="N41" s="534"/>
      <c r="O41" s="534"/>
      <c r="P41" s="534"/>
      <c r="Q41" s="534"/>
      <c r="R41" s="534"/>
      <c r="S41" s="534"/>
      <c r="T41" s="534"/>
      <c r="V41" s="534"/>
      <c r="W41" s="534"/>
      <c r="X41" s="534"/>
      <c r="Y41" s="534"/>
      <c r="Z41" s="534"/>
      <c r="AA41" s="534"/>
      <c r="AB41" s="534"/>
      <c r="AC41" s="534"/>
      <c r="AD41" s="534"/>
      <c r="AE41" s="534"/>
    </row>
    <row r="42" spans="1:32">
      <c r="C42" s="534"/>
      <c r="D42" s="534"/>
      <c r="E42" s="534"/>
      <c r="F42" s="534"/>
      <c r="G42" s="534"/>
      <c r="H42" s="534"/>
      <c r="I42" s="534"/>
      <c r="J42" s="534"/>
      <c r="K42" s="534"/>
      <c r="L42" s="534"/>
      <c r="M42" s="534"/>
      <c r="N42" s="534"/>
      <c r="O42" s="534"/>
      <c r="P42" s="534"/>
      <c r="Q42" s="534"/>
      <c r="R42" s="534"/>
      <c r="S42" s="534"/>
      <c r="T42" s="534"/>
      <c r="V42" s="534"/>
      <c r="W42" s="534"/>
      <c r="X42" s="534"/>
      <c r="Y42" s="534"/>
      <c r="Z42" s="534"/>
      <c r="AA42" s="534"/>
      <c r="AB42" s="534"/>
      <c r="AC42" s="534"/>
      <c r="AD42" s="534"/>
      <c r="AE42" s="534"/>
    </row>
    <row r="43" spans="1:32">
      <c r="C43" s="534"/>
      <c r="D43" s="534"/>
      <c r="E43" s="534"/>
      <c r="F43" s="534"/>
      <c r="G43" s="534"/>
      <c r="H43" s="534"/>
      <c r="I43" s="534"/>
      <c r="J43" s="534"/>
      <c r="K43" s="534"/>
      <c r="L43" s="534"/>
      <c r="M43" s="534"/>
      <c r="N43" s="534"/>
      <c r="O43" s="534"/>
      <c r="P43" s="534"/>
      <c r="Q43" s="534"/>
      <c r="R43" s="534"/>
      <c r="S43" s="534"/>
      <c r="T43" s="534"/>
      <c r="V43" s="534"/>
      <c r="W43" s="534"/>
      <c r="X43" s="534"/>
      <c r="Y43" s="534"/>
      <c r="Z43" s="534"/>
      <c r="AA43" s="534"/>
      <c r="AB43" s="534"/>
      <c r="AC43" s="534"/>
      <c r="AD43" s="534"/>
      <c r="AE43" s="534"/>
    </row>
    <row r="44" spans="1:32">
      <c r="C44" s="534"/>
      <c r="D44" s="534"/>
      <c r="E44" s="534"/>
      <c r="F44" s="534"/>
      <c r="G44" s="534"/>
      <c r="H44" s="534"/>
      <c r="I44" s="534"/>
      <c r="J44" s="534"/>
      <c r="K44" s="534"/>
      <c r="L44" s="534"/>
      <c r="M44" s="534"/>
      <c r="N44" s="534"/>
      <c r="O44" s="534"/>
      <c r="P44" s="534"/>
      <c r="Q44" s="534"/>
      <c r="R44" s="534"/>
      <c r="S44" s="534"/>
      <c r="T44" s="534"/>
      <c r="V44" s="534"/>
      <c r="W44" s="534"/>
      <c r="X44" s="534"/>
      <c r="Y44" s="534"/>
      <c r="Z44" s="534"/>
      <c r="AA44" s="534"/>
      <c r="AB44" s="534"/>
      <c r="AC44" s="534"/>
      <c r="AD44" s="534"/>
      <c r="AE44" s="534"/>
    </row>
    <row r="45" spans="1:32">
      <c r="C45" s="534"/>
      <c r="D45" s="534"/>
      <c r="E45" s="534"/>
      <c r="F45" s="534"/>
      <c r="G45" s="534"/>
      <c r="H45" s="534"/>
      <c r="I45" s="534"/>
      <c r="J45" s="534"/>
      <c r="K45" s="534"/>
      <c r="L45" s="534"/>
      <c r="M45" s="534"/>
      <c r="N45" s="534"/>
      <c r="O45" s="534"/>
      <c r="P45" s="534"/>
      <c r="Q45" s="534"/>
      <c r="R45" s="534"/>
      <c r="S45" s="534"/>
      <c r="T45" s="534"/>
      <c r="V45" s="534"/>
      <c r="W45" s="534"/>
      <c r="X45" s="534"/>
      <c r="Y45" s="534"/>
      <c r="Z45" s="534"/>
      <c r="AA45" s="534"/>
      <c r="AB45" s="534"/>
      <c r="AC45" s="534"/>
      <c r="AD45" s="534"/>
      <c r="AE45" s="534"/>
    </row>
    <row r="46" spans="1:32">
      <c r="C46" s="534"/>
      <c r="D46" s="534"/>
      <c r="E46" s="534"/>
      <c r="F46" s="534"/>
      <c r="G46" s="534"/>
      <c r="H46" s="534"/>
      <c r="I46" s="534"/>
      <c r="J46" s="534"/>
      <c r="K46" s="534"/>
      <c r="L46" s="534"/>
      <c r="M46" s="534"/>
      <c r="N46" s="534"/>
      <c r="O46" s="534"/>
      <c r="P46" s="534"/>
      <c r="Q46" s="534"/>
      <c r="R46" s="534"/>
      <c r="S46" s="534"/>
      <c r="T46" s="534"/>
      <c r="V46" s="534"/>
      <c r="W46" s="534"/>
      <c r="X46" s="534"/>
      <c r="Y46" s="534"/>
      <c r="Z46" s="534"/>
      <c r="AA46" s="534"/>
      <c r="AB46" s="534"/>
      <c r="AC46" s="534"/>
      <c r="AD46" s="534"/>
      <c r="AE46" s="534"/>
    </row>
    <row r="47" spans="1:32">
      <c r="A47" s="271"/>
      <c r="B47" s="271"/>
      <c r="C47" s="534"/>
      <c r="D47" s="534"/>
      <c r="E47" s="534"/>
      <c r="F47" s="534"/>
      <c r="G47" s="534"/>
      <c r="H47" s="534"/>
      <c r="I47" s="534"/>
      <c r="J47" s="534"/>
      <c r="K47" s="534"/>
      <c r="L47" s="534"/>
      <c r="M47" s="534"/>
      <c r="N47" s="534"/>
      <c r="O47" s="534"/>
      <c r="P47" s="534"/>
      <c r="Q47" s="534"/>
      <c r="R47" s="534"/>
      <c r="S47" s="534"/>
      <c r="T47" s="534"/>
      <c r="V47" s="534"/>
      <c r="W47" s="534"/>
      <c r="X47" s="534"/>
      <c r="Y47" s="534"/>
      <c r="Z47" s="534"/>
      <c r="AA47" s="534"/>
      <c r="AB47" s="534"/>
      <c r="AC47" s="534"/>
      <c r="AD47" s="534"/>
      <c r="AE47" s="534"/>
    </row>
    <row r="48" spans="1:32">
      <c r="A48" s="271"/>
      <c r="B48" s="271"/>
      <c r="C48" s="534"/>
      <c r="D48" s="534"/>
      <c r="E48" s="534"/>
      <c r="F48" s="534"/>
      <c r="G48" s="534"/>
      <c r="H48" s="534"/>
      <c r="I48" s="534"/>
      <c r="J48" s="534"/>
      <c r="K48" s="534"/>
      <c r="L48" s="534"/>
      <c r="M48" s="534"/>
      <c r="N48" s="534"/>
      <c r="O48" s="534"/>
      <c r="P48" s="534"/>
      <c r="Q48" s="534"/>
      <c r="R48" s="534"/>
      <c r="S48" s="534"/>
      <c r="T48" s="534"/>
      <c r="V48" s="534"/>
      <c r="W48" s="534"/>
      <c r="X48" s="534"/>
      <c r="Y48" s="534"/>
      <c r="Z48" s="534"/>
      <c r="AA48" s="534"/>
      <c r="AB48" s="534"/>
      <c r="AC48" s="534"/>
      <c r="AD48" s="534"/>
      <c r="AE48" s="534"/>
    </row>
    <row r="49" spans="1:31">
      <c r="A49" s="271"/>
      <c r="B49" s="271"/>
      <c r="C49" s="534"/>
      <c r="D49" s="534"/>
      <c r="E49" s="534"/>
      <c r="F49" s="534"/>
      <c r="G49" s="534"/>
      <c r="H49" s="534"/>
      <c r="I49" s="534"/>
      <c r="J49" s="534"/>
      <c r="K49" s="534"/>
      <c r="L49" s="534"/>
      <c r="M49" s="534"/>
      <c r="N49" s="534"/>
      <c r="O49" s="534"/>
      <c r="P49" s="534"/>
      <c r="Q49" s="534"/>
      <c r="R49" s="534"/>
      <c r="S49" s="534"/>
      <c r="T49" s="534"/>
      <c r="V49" s="534"/>
      <c r="W49" s="534"/>
      <c r="X49" s="534"/>
      <c r="Y49" s="534"/>
      <c r="Z49" s="534"/>
      <c r="AA49" s="534"/>
      <c r="AB49" s="534"/>
      <c r="AC49" s="534"/>
      <c r="AD49" s="534"/>
      <c r="AE49" s="534"/>
    </row>
    <row r="50" spans="1:31">
      <c r="A50" s="271"/>
      <c r="B50" s="271"/>
      <c r="C50" s="534"/>
      <c r="D50" s="534"/>
      <c r="E50" s="534"/>
      <c r="F50" s="534"/>
      <c r="G50" s="534"/>
      <c r="H50" s="534"/>
      <c r="I50" s="534"/>
      <c r="J50" s="534"/>
      <c r="K50" s="534"/>
      <c r="L50" s="534"/>
      <c r="M50" s="534"/>
      <c r="N50" s="534"/>
      <c r="O50" s="534"/>
      <c r="P50" s="534"/>
      <c r="Q50" s="534"/>
      <c r="R50" s="534"/>
      <c r="S50" s="534"/>
      <c r="T50" s="534"/>
      <c r="V50" s="534"/>
      <c r="W50" s="534"/>
      <c r="X50" s="534"/>
      <c r="Y50" s="534"/>
      <c r="Z50" s="534"/>
      <c r="AA50" s="534"/>
      <c r="AB50" s="534"/>
      <c r="AC50" s="534"/>
      <c r="AD50" s="534"/>
      <c r="AE50" s="534"/>
    </row>
    <row r="51" spans="1:31">
      <c r="A51" s="271"/>
      <c r="B51" s="271"/>
      <c r="C51" s="534"/>
      <c r="D51" s="534"/>
      <c r="E51" s="534"/>
      <c r="F51" s="534"/>
      <c r="G51" s="534"/>
      <c r="H51" s="534"/>
      <c r="I51" s="534"/>
      <c r="J51" s="534"/>
      <c r="K51" s="534"/>
      <c r="L51" s="534"/>
      <c r="M51" s="534"/>
      <c r="N51" s="534"/>
      <c r="O51" s="534"/>
      <c r="P51" s="534"/>
      <c r="Q51" s="534"/>
      <c r="R51" s="534"/>
      <c r="S51" s="534"/>
      <c r="T51" s="534"/>
      <c r="V51" s="534"/>
      <c r="W51" s="534"/>
      <c r="X51" s="534"/>
      <c r="Y51" s="534"/>
      <c r="Z51" s="534"/>
      <c r="AA51" s="534"/>
      <c r="AB51" s="534"/>
      <c r="AC51" s="534"/>
      <c r="AD51" s="534"/>
      <c r="AE51" s="534"/>
    </row>
  </sheetData>
  <customSheetViews>
    <customSheetView guid="{9C153D9E-615C-443B-9CD7-551163282F03}" scale="160" showPageBreaks="1" printArea="1" view="pageBreakPreview" topLeftCell="W1">
      <selection activeCell="AB12" sqref="AB12"/>
      <colBreaks count="1" manualBreakCount="1">
        <brk id="20" max="38" man="1"/>
      </colBreaks>
      <pageMargins left="0" right="0" top="0" bottom="0" header="0" footer="0"/>
      <pageSetup firstPageNumber="61" orientation="landscape" r:id="rId1"/>
      <headerFooter>
        <oddFooter>&amp;C&amp;P</oddFooter>
      </headerFooter>
    </customSheetView>
    <customSheetView guid="{BE9F68F7-D81B-4526-9959-D871EC50BDFF}" scale="160" showPageBreaks="1" printArea="1" view="pageBreakPreview" topLeftCell="W1">
      <selection activeCell="AB12" sqref="AB12"/>
      <colBreaks count="1" manualBreakCount="1">
        <brk id="20" max="38" man="1"/>
      </colBreaks>
      <pageMargins left="0" right="0" top="0" bottom="0" header="0" footer="0"/>
      <pageSetup firstPageNumber="61" orientation="landscape" r:id="rId2"/>
      <headerFooter>
        <oddFooter>&amp;C&amp;P</oddFooter>
      </headerFooter>
    </customSheetView>
    <customSheetView guid="{EF790C5B-80DA-4544-9EB7-EFE0323B2298}" scale="160" showPageBreaks="1" printArea="1" hiddenRows="1" view="pageBreakPreview" topLeftCell="W3">
      <selection activeCell="AD5" sqref="AD5:AD17"/>
      <colBreaks count="1" manualBreakCount="1">
        <brk id="20" max="38" man="1"/>
      </colBreaks>
      <pageMargins left="0" right="0" top="0" bottom="0" header="0" footer="0"/>
      <pageSetup firstPageNumber="61" orientation="landscape" r:id="rId3"/>
      <headerFooter>
        <oddFooter>&amp;C&amp;P</oddFooter>
      </headerFooter>
    </customSheetView>
    <customSheetView guid="{C9D2DBB1-CD01-4732-8C86-64BE16C94753}" scale="120" showPageBreaks="1" printArea="1" view="pageBreakPreview">
      <colBreaks count="1" manualBreakCount="1">
        <brk id="20" max="38" man="1"/>
      </colBreaks>
      <pageMargins left="0" right="0" top="0" bottom="0" header="0" footer="0"/>
      <pageSetup firstPageNumber="61" orientation="landscape" r:id="rId4"/>
      <headerFooter>
        <oddFooter>&amp;C&amp;P</oddFooter>
      </headerFooter>
    </customSheetView>
    <customSheetView guid="{BFEC163F-7C4E-49B7-9F32-15225772E72F}" scale="120" showPageBreaks="1" printArea="1" view="pageBreakPreview" topLeftCell="S1">
      <selection activeCell="W19" sqref="W19"/>
      <colBreaks count="1" manualBreakCount="1">
        <brk id="20" max="38" man="1"/>
      </colBreaks>
      <pageMargins left="0" right="0" top="0" bottom="0" header="0" footer="0"/>
      <pageSetup firstPageNumber="61" orientation="landscape" r:id="rId5"/>
      <headerFooter>
        <oddFooter>&amp;C&amp;P</oddFooter>
      </headerFooter>
    </customSheetView>
    <customSheetView guid="{5529DB6B-163A-4048-9107-267B30B97DF3}" scale="120" showPageBreaks="1" printArea="1" view="pageBreakPreview" topLeftCell="S13">
      <selection activeCell="W19" sqref="W19"/>
      <colBreaks count="1" manualBreakCount="1">
        <brk id="20" max="38" man="1"/>
      </colBreaks>
      <pageMargins left="0" right="0" top="0" bottom="0" header="0" footer="0"/>
      <pageSetup firstPageNumber="61" orientation="landscape" r:id="rId6"/>
      <headerFooter>
        <oddFooter>&amp;C&amp;P</oddFooter>
      </headerFooter>
    </customSheetView>
    <customSheetView guid="{9B0763AA-FA4B-479A-900C-C113E8BEEFEB}" scale="120" showPageBreaks="1" printArea="1" view="pageBreakPreview" topLeftCell="A4">
      <selection activeCell="C5" sqref="C5:L15"/>
      <colBreaks count="1" manualBreakCount="1">
        <brk id="20" max="38" man="1"/>
      </colBreaks>
      <pageMargins left="0" right="0" top="0" bottom="0" header="0" footer="0"/>
      <pageSetup firstPageNumber="61" orientation="landscape" r:id="rId7"/>
      <headerFooter>
        <oddFooter>&amp;C&amp;P</oddFooter>
      </headerFooter>
    </customSheetView>
    <customSheetView guid="{89903799-8228-4A6D-8A81-7F80BC61226D}" scale="160" showPageBreaks="1" printArea="1" view="pageBreakPreview" topLeftCell="X7">
      <selection activeCell="X18" sqref="X18"/>
      <colBreaks count="1" manualBreakCount="1">
        <brk id="20" max="38" man="1"/>
      </colBreaks>
      <pageMargins left="0" right="0" top="0" bottom="0" header="0" footer="0"/>
      <pageSetup firstPageNumber="61" orientation="landscape" r:id="rId8"/>
      <headerFooter>
        <oddFooter>&amp;C&amp;P</oddFooter>
      </headerFooter>
    </customSheetView>
    <customSheetView guid="{2524630E-605A-4616-AD5D-6CF7B1E9752C}" scale="160" showPageBreaks="1" printArea="1" hiddenRows="1" view="pageBreakPreview" topLeftCell="W3">
      <selection activeCell="AD5" sqref="AD5:AD17"/>
      <colBreaks count="1" manualBreakCount="1">
        <brk id="20" max="38" man="1"/>
      </colBreaks>
      <pageMargins left="0" right="0" top="0" bottom="0" header="0" footer="0"/>
      <pageSetup firstPageNumber="61" orientation="landscape" r:id="rId9"/>
      <headerFooter>
        <oddFooter>&amp;C&amp;P</oddFooter>
      </headerFooter>
    </customSheetView>
  </customSheetViews>
  <mergeCells count="103">
    <mergeCell ref="K29:L29"/>
    <mergeCell ref="K15:L20"/>
    <mergeCell ref="K24:L24"/>
    <mergeCell ref="K30:L30"/>
    <mergeCell ref="I26:J26"/>
    <mergeCell ref="I27:J27"/>
    <mergeCell ref="I28:J28"/>
    <mergeCell ref="I29:J29"/>
    <mergeCell ref="I30:J30"/>
    <mergeCell ref="K22:L22"/>
    <mergeCell ref="I24:J24"/>
    <mergeCell ref="C22:D22"/>
    <mergeCell ref="E27:F27"/>
    <mergeCell ref="C23:D23"/>
    <mergeCell ref="K23:L23"/>
    <mergeCell ref="K25:L25"/>
    <mergeCell ref="G15:H20"/>
    <mergeCell ref="E21:F21"/>
    <mergeCell ref="K26:L26"/>
    <mergeCell ref="I21:J21"/>
    <mergeCell ref="K21:L21"/>
    <mergeCell ref="I22:J22"/>
    <mergeCell ref="I23:J23"/>
    <mergeCell ref="I25:J25"/>
    <mergeCell ref="E23:F23"/>
    <mergeCell ref="C24:D24"/>
    <mergeCell ref="E24:F24"/>
    <mergeCell ref="C25:D25"/>
    <mergeCell ref="E25:F25"/>
    <mergeCell ref="E22:F22"/>
    <mergeCell ref="B3:B21"/>
    <mergeCell ref="C3:L13"/>
    <mergeCell ref="T3:T10"/>
    <mergeCell ref="T14:T16"/>
    <mergeCell ref="C21:D21"/>
    <mergeCell ref="C15:D20"/>
    <mergeCell ref="Q11:Q12"/>
    <mergeCell ref="A2:A21"/>
    <mergeCell ref="C2:L2"/>
    <mergeCell ref="I15:J20"/>
    <mergeCell ref="C14:L14"/>
    <mergeCell ref="O3:O5"/>
    <mergeCell ref="W3:W5"/>
    <mergeCell ref="Q3:Q7"/>
    <mergeCell ref="O16:O17"/>
    <mergeCell ref="M3:M9"/>
    <mergeCell ref="W14:W16"/>
    <mergeCell ref="N3:N12"/>
    <mergeCell ref="X3:X7"/>
    <mergeCell ref="E15:F20"/>
    <mergeCell ref="AE3:AE15"/>
    <mergeCell ref="Y6:Y12"/>
    <mergeCell ref="W9:W10"/>
    <mergeCell ref="Y3:Z5"/>
    <mergeCell ref="AD3:AD15"/>
    <mergeCell ref="U2:U21"/>
    <mergeCell ref="W11:W12"/>
    <mergeCell ref="P3:P9"/>
    <mergeCell ref="R3:R10"/>
    <mergeCell ref="S3:S10"/>
    <mergeCell ref="AA3:AA8"/>
    <mergeCell ref="AC3:AC15"/>
    <mergeCell ref="AB3:AB7"/>
    <mergeCell ref="V3:V15"/>
    <mergeCell ref="Z6:Z13"/>
    <mergeCell ref="C35:D35"/>
    <mergeCell ref="E35:F35"/>
    <mergeCell ref="C30:D30"/>
    <mergeCell ref="E30:F30"/>
    <mergeCell ref="C29:D29"/>
    <mergeCell ref="E29:F29"/>
    <mergeCell ref="E32:F32"/>
    <mergeCell ref="C26:D26"/>
    <mergeCell ref="E26:F26"/>
    <mergeCell ref="C28:D28"/>
    <mergeCell ref="E28:F28"/>
    <mergeCell ref="C27:D27"/>
    <mergeCell ref="C31:D31"/>
    <mergeCell ref="E31:F31"/>
    <mergeCell ref="AF3:AF8"/>
    <mergeCell ref="AF11:AF12"/>
    <mergeCell ref="C36:D36"/>
    <mergeCell ref="E36:F36"/>
    <mergeCell ref="I35:J35"/>
    <mergeCell ref="I36:J36"/>
    <mergeCell ref="G21:H21"/>
    <mergeCell ref="K36:L36"/>
    <mergeCell ref="K31:L31"/>
    <mergeCell ref="K35:L35"/>
    <mergeCell ref="K32:L32"/>
    <mergeCell ref="K33:L33"/>
    <mergeCell ref="K34:L34"/>
    <mergeCell ref="I34:J34"/>
    <mergeCell ref="K27:L27"/>
    <mergeCell ref="K28:L28"/>
    <mergeCell ref="I31:J31"/>
    <mergeCell ref="I32:J32"/>
    <mergeCell ref="C34:D34"/>
    <mergeCell ref="E34:F34"/>
    <mergeCell ref="C33:D33"/>
    <mergeCell ref="E33:F33"/>
    <mergeCell ref="I33:J33"/>
    <mergeCell ref="C32:D32"/>
  </mergeCells>
  <pageMargins left="0.314" right="0.314" top="0.11799999999999999" bottom="0.27500000000000002" header="0.157" footer="0.11799999999999999"/>
  <pageSetup scale="92" firstPageNumber="61" orientation="landscape" r:id="rId10"/>
  <headerFooter>
    <oddFooter>&amp;C&amp;P</oddFooter>
  </headerFooter>
  <colBreaks count="1" manualBreakCount="1">
    <brk id="20" max="37"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X40"/>
  <sheetViews>
    <sheetView view="pageBreakPreview" zoomScale="220" zoomScaleNormal="110" zoomScaleSheetLayoutView="220" zoomScalePageLayoutView="90" workbookViewId="0">
      <selection activeCell="B3" sqref="B3"/>
    </sheetView>
  </sheetViews>
  <sheetFormatPr defaultColWidth="9.140625" defaultRowHeight="12.75"/>
  <cols>
    <col min="1" max="1" width="3.5703125" style="271" customWidth="1"/>
    <col min="2" max="2" width="7.42578125" style="271" customWidth="1"/>
    <col min="3" max="5" width="11.7109375" style="271" customWidth="1"/>
    <col min="6" max="6" width="14.28515625" style="271" customWidth="1"/>
    <col min="7" max="8" width="11.7109375" style="271" customWidth="1"/>
    <col min="9" max="9" width="14.28515625" style="271" customWidth="1"/>
    <col min="10" max="11" width="11.7109375" style="271" customWidth="1"/>
    <col min="12" max="12" width="3.42578125" style="271" customWidth="1"/>
    <col min="13" max="13" width="14.28515625" style="271" customWidth="1"/>
    <col min="14" max="15" width="9.7109375" style="271" customWidth="1"/>
    <col min="16" max="16" width="11.140625" style="271" customWidth="1"/>
    <col min="17" max="18" width="9.7109375" style="271" customWidth="1"/>
    <col min="19" max="19" width="12" style="271" customWidth="1"/>
    <col min="20" max="21" width="9.7109375" style="271" customWidth="1"/>
    <col min="22" max="22" width="14.28515625" style="271" customWidth="1"/>
    <col min="23" max="24" width="9.7109375" style="271" customWidth="1"/>
    <col min="25" max="16384" width="9.140625" style="271"/>
  </cols>
  <sheetData>
    <row r="1" spans="1:24">
      <c r="A1" s="535" t="s">
        <v>1055</v>
      </c>
      <c r="B1" s="535"/>
      <c r="C1" s="281"/>
      <c r="D1" s="281"/>
      <c r="E1" s="281"/>
      <c r="F1" s="281"/>
      <c r="G1" s="281"/>
      <c r="H1" s="281"/>
      <c r="I1" s="281"/>
      <c r="J1" s="281"/>
      <c r="K1" s="281"/>
      <c r="L1" s="535" t="s">
        <v>1055</v>
      </c>
      <c r="M1" s="281"/>
      <c r="N1" s="281"/>
      <c r="O1" s="281"/>
      <c r="P1" s="281"/>
      <c r="Q1" s="281"/>
      <c r="R1" s="281"/>
      <c r="S1" s="281"/>
      <c r="T1" s="281"/>
      <c r="U1" s="281"/>
      <c r="V1" s="281"/>
      <c r="W1" s="281"/>
      <c r="X1" s="281"/>
    </row>
    <row r="2" spans="1:24">
      <c r="A2" s="535"/>
      <c r="B2" s="535"/>
      <c r="C2" s="281"/>
      <c r="D2" s="281"/>
      <c r="E2" s="281"/>
      <c r="F2" s="281"/>
      <c r="G2" s="281"/>
      <c r="H2" s="281"/>
      <c r="I2" s="281"/>
      <c r="J2" s="281"/>
      <c r="K2" s="281"/>
      <c r="L2" s="535"/>
      <c r="M2" s="281"/>
      <c r="N2" s="281"/>
      <c r="O2" s="281"/>
      <c r="P2" s="281"/>
      <c r="Q2" s="281"/>
      <c r="R2" s="281"/>
      <c r="S2" s="281"/>
      <c r="T2" s="281"/>
      <c r="U2" s="281"/>
      <c r="V2" s="281"/>
      <c r="W2" s="281"/>
      <c r="X2" s="281"/>
    </row>
    <row r="3" spans="1:24" ht="13.5">
      <c r="A3" s="812"/>
      <c r="B3" s="812" t="s">
        <v>1056</v>
      </c>
      <c r="C3" s="1612"/>
      <c r="D3" s="1612"/>
      <c r="E3" s="1612"/>
      <c r="F3" s="1612"/>
      <c r="G3" s="1612"/>
      <c r="H3" s="1612"/>
      <c r="I3" s="1612"/>
      <c r="J3" s="1612"/>
      <c r="K3" s="1612"/>
      <c r="L3" s="1612"/>
      <c r="M3" s="1612"/>
      <c r="N3" s="1612"/>
      <c r="O3" s="1612"/>
      <c r="P3" s="1612"/>
      <c r="Q3" s="1612"/>
      <c r="R3" s="1612"/>
      <c r="S3" s="1612"/>
      <c r="T3" s="1612"/>
      <c r="U3" s="1612"/>
      <c r="V3" s="1612"/>
      <c r="W3" s="1612"/>
      <c r="X3" s="1612"/>
    </row>
    <row r="4" spans="1:24" ht="13.5" customHeight="1">
      <c r="A4" s="2477" t="s">
        <v>187</v>
      </c>
      <c r="B4" s="1613" t="s">
        <v>1057</v>
      </c>
      <c r="C4" s="1613" t="s">
        <v>1058</v>
      </c>
      <c r="D4" s="1613" t="s">
        <v>1059</v>
      </c>
      <c r="E4" s="1613" t="s">
        <v>1060</v>
      </c>
      <c r="F4" s="1613" t="s">
        <v>1061</v>
      </c>
      <c r="G4" s="1613" t="s">
        <v>1062</v>
      </c>
      <c r="H4" s="1613" t="s">
        <v>1063</v>
      </c>
      <c r="I4" s="1613" t="s">
        <v>1064</v>
      </c>
      <c r="J4" s="1613" t="s">
        <v>1065</v>
      </c>
      <c r="K4" s="1613" t="s">
        <v>1066</v>
      </c>
      <c r="L4" s="2477" t="s">
        <v>187</v>
      </c>
      <c r="M4" s="1614" t="s">
        <v>1067</v>
      </c>
      <c r="N4" s="1615" t="s">
        <v>1068</v>
      </c>
      <c r="O4" s="1615" t="s">
        <v>1069</v>
      </c>
      <c r="P4" s="1615" t="s">
        <v>1070</v>
      </c>
      <c r="Q4" s="1615" t="s">
        <v>1071</v>
      </c>
      <c r="R4" s="1615" t="s">
        <v>1072</v>
      </c>
      <c r="S4" s="1615" t="s">
        <v>1073</v>
      </c>
      <c r="T4" s="1615" t="s">
        <v>1074</v>
      </c>
      <c r="U4" s="1615" t="s">
        <v>1075</v>
      </c>
      <c r="V4" s="785" t="s">
        <v>1076</v>
      </c>
      <c r="W4" s="1613" t="s">
        <v>1077</v>
      </c>
      <c r="X4" s="1613" t="s">
        <v>1078</v>
      </c>
    </row>
    <row r="5" spans="1:24" ht="12.75" customHeight="1">
      <c r="A5" s="2478"/>
      <c r="B5" s="2556" t="s">
        <v>1079</v>
      </c>
      <c r="C5" s="2515" t="s">
        <v>1080</v>
      </c>
      <c r="D5" s="2199" t="s">
        <v>1081</v>
      </c>
      <c r="E5" s="2199" t="s">
        <v>1082</v>
      </c>
      <c r="F5" s="2199" t="s">
        <v>1083</v>
      </c>
      <c r="G5" s="2199" t="s">
        <v>1084</v>
      </c>
      <c r="H5" s="2199" t="s">
        <v>1085</v>
      </c>
      <c r="I5" s="2199" t="s">
        <v>1086</v>
      </c>
      <c r="J5" s="2199" t="s">
        <v>1087</v>
      </c>
      <c r="K5" s="2199" t="s">
        <v>1088</v>
      </c>
      <c r="L5" s="2478"/>
      <c r="M5" s="2515" t="s">
        <v>1089</v>
      </c>
      <c r="N5" s="2199" t="s">
        <v>1090</v>
      </c>
      <c r="O5" s="2199" t="s">
        <v>1091</v>
      </c>
      <c r="P5" s="2199" t="s">
        <v>1092</v>
      </c>
      <c r="Q5" s="2199" t="s">
        <v>1093</v>
      </c>
      <c r="R5" s="2199" t="s">
        <v>1094</v>
      </c>
      <c r="S5" s="2199" t="s">
        <v>1095</v>
      </c>
      <c r="T5" s="2199" t="s">
        <v>1096</v>
      </c>
      <c r="U5" s="2199" t="s">
        <v>1097</v>
      </c>
      <c r="V5" s="2199" t="s">
        <v>1098</v>
      </c>
      <c r="W5" s="2199" t="s">
        <v>1099</v>
      </c>
      <c r="X5" s="2199" t="s">
        <v>1100</v>
      </c>
    </row>
    <row r="6" spans="1:24" ht="12.75" customHeight="1">
      <c r="A6" s="2478"/>
      <c r="B6" s="2556"/>
      <c r="C6" s="2515"/>
      <c r="D6" s="2199"/>
      <c r="E6" s="2199"/>
      <c r="F6" s="2199"/>
      <c r="G6" s="2199"/>
      <c r="H6" s="2199"/>
      <c r="I6" s="2199"/>
      <c r="J6" s="2199"/>
      <c r="K6" s="2199"/>
      <c r="L6" s="2478"/>
      <c r="M6" s="2515"/>
      <c r="N6" s="2199"/>
      <c r="O6" s="2199"/>
      <c r="P6" s="2199"/>
      <c r="Q6" s="2199"/>
      <c r="R6" s="2199"/>
      <c r="S6" s="2199"/>
      <c r="T6" s="2199"/>
      <c r="U6" s="2199"/>
      <c r="V6" s="2199"/>
      <c r="W6" s="2199"/>
      <c r="X6" s="2199"/>
    </row>
    <row r="7" spans="1:24" ht="12.75" customHeight="1">
      <c r="A7" s="2478"/>
      <c r="B7" s="2556"/>
      <c r="C7" s="2515"/>
      <c r="D7" s="2199"/>
      <c r="E7" s="2199"/>
      <c r="F7" s="2199"/>
      <c r="G7" s="2199"/>
      <c r="H7" s="2199"/>
      <c r="I7" s="2199"/>
      <c r="J7" s="2199"/>
      <c r="K7" s="2199"/>
      <c r="L7" s="2478"/>
      <c r="M7" s="2515"/>
      <c r="N7" s="2199"/>
      <c r="O7" s="2199"/>
      <c r="P7" s="2199"/>
      <c r="Q7" s="2199"/>
      <c r="R7" s="2199"/>
      <c r="S7" s="2199"/>
      <c r="T7" s="2199"/>
      <c r="U7" s="2199"/>
      <c r="V7" s="2199"/>
      <c r="W7" s="2199"/>
      <c r="X7" s="2199"/>
    </row>
    <row r="8" spans="1:24" ht="12.75" customHeight="1">
      <c r="A8" s="2478"/>
      <c r="B8" s="2556"/>
      <c r="C8" s="2515"/>
      <c r="D8" s="2199"/>
      <c r="E8" s="2199"/>
      <c r="F8" s="2199"/>
      <c r="G8" s="2199"/>
      <c r="H8" s="2199"/>
      <c r="I8" s="2199"/>
      <c r="J8" s="2199"/>
      <c r="K8" s="2199"/>
      <c r="L8" s="2478"/>
      <c r="M8" s="2515"/>
      <c r="N8" s="2199"/>
      <c r="O8" s="2199"/>
      <c r="P8" s="2199"/>
      <c r="Q8" s="2199"/>
      <c r="R8" s="2199"/>
      <c r="S8" s="2199"/>
      <c r="T8" s="2199"/>
      <c r="U8" s="2199"/>
      <c r="V8" s="2199"/>
      <c r="W8" s="2199"/>
      <c r="X8" s="2199"/>
    </row>
    <row r="9" spans="1:24" ht="13.5" customHeight="1">
      <c r="A9" s="2478"/>
      <c r="B9" s="2556"/>
      <c r="C9" s="2515"/>
      <c r="D9" s="2199"/>
      <c r="E9" s="2199"/>
      <c r="F9" s="2199"/>
      <c r="G9" s="2199"/>
      <c r="H9" s="2199"/>
      <c r="I9" s="2199"/>
      <c r="J9" s="2199"/>
      <c r="K9" s="2199"/>
      <c r="L9" s="2478"/>
      <c r="M9" s="2515"/>
      <c r="N9" s="2199"/>
      <c r="O9" s="2199"/>
      <c r="P9" s="2199"/>
      <c r="Q9" s="2199"/>
      <c r="R9" s="2199"/>
      <c r="S9" s="2199"/>
      <c r="T9" s="2199"/>
      <c r="U9" s="2199"/>
      <c r="V9" s="2199"/>
      <c r="W9" s="2199"/>
      <c r="X9" s="2199"/>
    </row>
    <row r="10" spans="1:24" ht="13.5" customHeight="1">
      <c r="A10" s="2478"/>
      <c r="B10" s="1616"/>
      <c r="C10" s="2515"/>
      <c r="D10" s="2199"/>
      <c r="E10" s="2199"/>
      <c r="F10" s="2199"/>
      <c r="G10" s="2199"/>
      <c r="H10" s="2199"/>
      <c r="I10" s="2199"/>
      <c r="J10" s="2199"/>
      <c r="K10" s="2199"/>
      <c r="L10" s="2478"/>
      <c r="M10" s="2515"/>
      <c r="N10" s="2199"/>
      <c r="O10" s="2199"/>
      <c r="P10" s="2199"/>
      <c r="Q10" s="2199"/>
      <c r="R10" s="2199"/>
      <c r="S10" s="2199"/>
      <c r="T10" s="2199"/>
      <c r="U10" s="2199"/>
      <c r="V10" s="2199"/>
      <c r="W10" s="2199"/>
      <c r="X10" s="2199"/>
    </row>
    <row r="11" spans="1:24" ht="13.5" customHeight="1">
      <c r="A11" s="2478"/>
      <c r="B11" s="1616"/>
      <c r="C11" s="2515"/>
      <c r="D11" s="2199"/>
      <c r="E11" s="2199"/>
      <c r="F11" s="2199"/>
      <c r="G11" s="2199"/>
      <c r="H11" s="2199"/>
      <c r="I11" s="2199"/>
      <c r="J11" s="2199"/>
      <c r="K11" s="2199"/>
      <c r="L11" s="2478"/>
      <c r="M11" s="2515"/>
      <c r="N11" s="2199"/>
      <c r="O11" s="2199"/>
      <c r="P11" s="2199"/>
      <c r="Q11" s="2199"/>
      <c r="R11" s="2199"/>
      <c r="S11" s="2199"/>
      <c r="T11" s="2199"/>
      <c r="U11" s="2199"/>
      <c r="V11" s="2199"/>
      <c r="W11" s="2199"/>
      <c r="X11" s="2199"/>
    </row>
    <row r="12" spans="1:24" ht="13.5" customHeight="1">
      <c r="A12" s="2478"/>
      <c r="B12" s="1616"/>
      <c r="C12" s="2515"/>
      <c r="D12" s="2199"/>
      <c r="E12" s="2199"/>
      <c r="F12" s="2199"/>
      <c r="G12" s="2199"/>
      <c r="H12" s="2199"/>
      <c r="I12" s="2199"/>
      <c r="J12" s="2199"/>
      <c r="K12" s="2199"/>
      <c r="L12" s="2478"/>
      <c r="M12" s="2515"/>
      <c r="N12" s="2199"/>
      <c r="O12" s="2199"/>
      <c r="P12" s="2199"/>
      <c r="Q12" s="2199"/>
      <c r="R12" s="2199"/>
      <c r="S12" s="2199"/>
      <c r="T12" s="2199"/>
      <c r="U12" s="2199"/>
      <c r="V12" s="2199"/>
      <c r="W12" s="2199"/>
      <c r="X12" s="2199"/>
    </row>
    <row r="13" spans="1:24" ht="13.5" customHeight="1">
      <c r="A13" s="2478"/>
      <c r="B13" s="1616"/>
      <c r="C13" s="2515"/>
      <c r="D13" s="2199"/>
      <c r="E13" s="2199"/>
      <c r="F13" s="2199"/>
      <c r="G13" s="2199"/>
      <c r="H13" s="2199"/>
      <c r="I13" s="2199"/>
      <c r="J13" s="2199"/>
      <c r="K13" s="2199"/>
      <c r="L13" s="2478"/>
      <c r="M13" s="2515"/>
      <c r="N13" s="2199"/>
      <c r="O13" s="2199"/>
      <c r="P13" s="2199"/>
      <c r="Q13" s="2199"/>
      <c r="R13" s="2199"/>
      <c r="S13" s="2199"/>
      <c r="T13" s="2199"/>
      <c r="U13" s="2199"/>
      <c r="V13" s="2199"/>
      <c r="W13" s="2199"/>
      <c r="X13" s="2199"/>
    </row>
    <row r="14" spans="1:24" ht="13.5" customHeight="1">
      <c r="A14" s="2478"/>
      <c r="B14" s="1616"/>
      <c r="C14" s="2515"/>
      <c r="D14" s="2199"/>
      <c r="E14" s="2199"/>
      <c r="F14" s="2199"/>
      <c r="G14" s="2199"/>
      <c r="H14" s="2199"/>
      <c r="I14" s="1123"/>
      <c r="J14" s="2199"/>
      <c r="K14" s="2199"/>
      <c r="L14" s="2478"/>
      <c r="M14" s="2515"/>
      <c r="N14" s="2199"/>
      <c r="O14" s="2199"/>
      <c r="P14" s="2199"/>
      <c r="Q14" s="2199"/>
      <c r="R14" s="2199"/>
      <c r="S14" s="1123"/>
      <c r="T14" s="2199"/>
      <c r="U14" s="2199"/>
      <c r="V14" s="908"/>
      <c r="W14" s="2199"/>
      <c r="X14" s="2199"/>
    </row>
    <row r="15" spans="1:24" ht="13.5" customHeight="1">
      <c r="A15" s="2478"/>
      <c r="B15" s="1616"/>
      <c r="C15" s="2515"/>
      <c r="D15" s="2199"/>
      <c r="E15" s="2199"/>
      <c r="F15" s="859"/>
      <c r="G15" s="2199"/>
      <c r="H15" s="2199"/>
      <c r="I15" s="1123"/>
      <c r="J15" s="2199"/>
      <c r="K15" s="2199"/>
      <c r="L15" s="2478"/>
      <c r="M15" s="954"/>
      <c r="N15" s="2199"/>
      <c r="O15" s="2199"/>
      <c r="P15" s="859"/>
      <c r="Q15" s="2199"/>
      <c r="R15" s="2199"/>
      <c r="S15" s="1123"/>
      <c r="T15" s="2199"/>
      <c r="U15" s="2199"/>
      <c r="V15" s="908"/>
      <c r="W15" s="2199"/>
      <c r="X15" s="2199"/>
    </row>
    <row r="16" spans="1:24" ht="21" customHeight="1">
      <c r="A16" s="2478"/>
      <c r="B16" s="1616"/>
      <c r="C16" s="2515"/>
      <c r="D16" s="2199"/>
      <c r="E16" s="2199"/>
      <c r="F16" s="859"/>
      <c r="G16" s="2199"/>
      <c r="H16" s="2199"/>
      <c r="I16" s="1123"/>
      <c r="J16" s="2199"/>
      <c r="K16" s="2199"/>
      <c r="L16" s="2478"/>
      <c r="M16" s="954"/>
      <c r="N16" s="2199"/>
      <c r="O16" s="2199"/>
      <c r="P16" s="859"/>
      <c r="Q16" s="2199"/>
      <c r="R16" s="2199"/>
      <c r="S16" s="1123"/>
      <c r="T16" s="2199"/>
      <c r="U16" s="2199"/>
      <c r="V16" s="908"/>
      <c r="W16" s="2199"/>
      <c r="X16" s="2199"/>
    </row>
    <row r="17" spans="1:24" ht="13.5" customHeight="1">
      <c r="A17" s="2478"/>
      <c r="B17" s="1425"/>
      <c r="C17" s="1123"/>
      <c r="D17" s="2199"/>
      <c r="E17" s="2199"/>
      <c r="F17" s="859"/>
      <c r="G17" s="2199"/>
      <c r="H17" s="2199"/>
      <c r="I17" s="1123"/>
      <c r="J17" s="2199"/>
      <c r="K17" s="2199"/>
      <c r="L17" s="2478"/>
      <c r="M17" s="954"/>
      <c r="N17" s="2199"/>
      <c r="O17" s="2199"/>
      <c r="P17" s="859"/>
      <c r="Q17" s="2199"/>
      <c r="R17" s="2199"/>
      <c r="S17" s="1123"/>
      <c r="T17" s="2199"/>
      <c r="U17" s="2199"/>
      <c r="V17" s="908"/>
      <c r="W17" s="2199"/>
      <c r="X17" s="2199"/>
    </row>
    <row r="18" spans="1:24" ht="13.5" customHeight="1">
      <c r="A18" s="2478"/>
      <c r="B18" s="1425"/>
      <c r="C18" s="1123"/>
      <c r="D18" s="2199"/>
      <c r="E18" s="2199"/>
      <c r="F18" s="859"/>
      <c r="G18" s="2199"/>
      <c r="H18" s="2199"/>
      <c r="I18" s="1123"/>
      <c r="J18" s="2199"/>
      <c r="K18" s="2199"/>
      <c r="L18" s="2478"/>
      <c r="M18" s="954"/>
      <c r="N18" s="2199"/>
      <c r="O18" s="2199"/>
      <c r="P18" s="859"/>
      <c r="Q18" s="2199"/>
      <c r="R18" s="2199"/>
      <c r="S18" s="1123"/>
      <c r="T18" s="2199"/>
      <c r="U18" s="2199"/>
      <c r="V18" s="908"/>
      <c r="W18" s="2199"/>
      <c r="X18" s="2199"/>
    </row>
    <row r="19" spans="1:24" ht="13.5" customHeight="1">
      <c r="A19" s="2478"/>
      <c r="B19" s="1425"/>
      <c r="C19" s="1123" t="s">
        <v>1101</v>
      </c>
      <c r="D19" s="2199"/>
      <c r="E19" s="2199"/>
      <c r="F19" s="1123" t="str">
        <f>C19</f>
        <v>1 Sim, comprado unicamente</v>
      </c>
      <c r="G19" s="2199"/>
      <c r="H19" s="2199"/>
      <c r="I19" s="1123" t="s">
        <v>1102</v>
      </c>
      <c r="J19" s="2199"/>
      <c r="K19" s="2199"/>
      <c r="L19" s="2478"/>
      <c r="M19" s="1123" t="str">
        <f>I19</f>
        <v>1 Sim, comprado</v>
      </c>
      <c r="N19" s="2199"/>
      <c r="O19" s="2199"/>
      <c r="P19" s="1123" t="str">
        <f>M19</f>
        <v>1 Sim, comprado</v>
      </c>
      <c r="Q19" s="2199"/>
      <c r="R19" s="2199"/>
      <c r="S19" s="1123" t="str">
        <f>P19</f>
        <v>1 Sim, comprado</v>
      </c>
      <c r="T19" s="2199"/>
      <c r="U19" s="2199"/>
      <c r="V19" s="1123" t="str">
        <f>S19</f>
        <v>1 Sim, comprado</v>
      </c>
      <c r="W19" s="2199"/>
      <c r="X19" s="2199"/>
    </row>
    <row r="20" spans="1:24" ht="40.5">
      <c r="A20" s="2478"/>
      <c r="B20" s="1425"/>
      <c r="C20" s="1036" t="str">
        <f>CONCATENATE("2 Sim, apenas oferecido ►",E4)</f>
        <v>2 Sim, apenas oferecido ►(7A.03)</v>
      </c>
      <c r="D20" s="1547"/>
      <c r="E20" s="1547"/>
      <c r="F20" s="1036" t="str">
        <f>CONCATENATE("2 Sim, apenas oferecido ►",H4)</f>
        <v>2 Sim, apenas oferecido ►(7A.06)</v>
      </c>
      <c r="G20" s="1547"/>
      <c r="H20" s="1547"/>
      <c r="I20" s="1036" t="str">
        <f>CONCATENATE("2 Sim, apenas oferecido ►",K4)</f>
        <v>2 Sim, apenas oferecido ►(7A.09)</v>
      </c>
      <c r="J20" s="1547"/>
      <c r="K20" s="1547"/>
      <c r="L20" s="2478"/>
      <c r="M20" s="1036" t="str">
        <f>CONCATENATE("2 Sim, apenas oferecido ►",O4)</f>
        <v>2 Sim, apenas oferecido ►(7A.12)</v>
      </c>
      <c r="N20" s="1547"/>
      <c r="O20" s="1547"/>
      <c r="P20" s="1036" t="str">
        <f>CONCATENATE("2 Sim, apenas oferecido ►",R4)</f>
        <v>2 Sim, apenas oferecido ►(7A.15)</v>
      </c>
      <c r="Q20" s="2199"/>
      <c r="R20" s="2199"/>
      <c r="S20" s="1036" t="str">
        <f>CONCATENATE("2 Sim, apenas oferecido ►",U4)</f>
        <v>2 Sim, apenas oferecido ►(7A.18)</v>
      </c>
      <c r="T20" s="1547"/>
      <c r="U20" s="1547"/>
      <c r="V20" s="1036" t="str">
        <f>CONCATENATE("2 Sim, apenas oferecido ►",X4)</f>
        <v>2 Sim, apenas oferecido ►(7A.21)</v>
      </c>
      <c r="W20" s="2199"/>
      <c r="X20" s="1547"/>
    </row>
    <row r="21" spans="1:24" ht="40.5">
      <c r="A21" s="2478"/>
      <c r="B21" s="1425"/>
      <c r="C21" s="1039" t="s">
        <v>1103</v>
      </c>
      <c r="D21" s="1617"/>
      <c r="E21" s="1617"/>
      <c r="F21" s="1039" t="str">
        <f>C21</f>
        <v>3 Sim, comprado e oferecido</v>
      </c>
      <c r="G21" s="1617"/>
      <c r="H21" s="1617"/>
      <c r="I21" s="1618" t="s">
        <v>1104</v>
      </c>
      <c r="J21" s="1617"/>
      <c r="K21" s="1617"/>
      <c r="L21" s="2478"/>
      <c r="M21" s="1039" t="str">
        <f>I21</f>
        <v xml:space="preserve">3 Sim, comprado e oferecido </v>
      </c>
      <c r="N21" s="1547"/>
      <c r="O21" s="1547"/>
      <c r="P21" s="1039" t="str">
        <f>M21</f>
        <v xml:space="preserve">3 Sim, comprado e oferecido </v>
      </c>
      <c r="Q21" s="1617"/>
      <c r="R21" s="1617"/>
      <c r="S21" s="1039" t="str">
        <f>P21</f>
        <v xml:space="preserve">3 Sim, comprado e oferecido </v>
      </c>
      <c r="T21" s="1617"/>
      <c r="U21" s="1617"/>
      <c r="V21" s="1039" t="str">
        <f>S21</f>
        <v xml:space="preserve">3 Sim, comprado e oferecido </v>
      </c>
      <c r="W21" s="1547"/>
      <c r="X21" s="1547"/>
    </row>
    <row r="22" spans="1:24" ht="13.5" customHeight="1">
      <c r="A22" s="2478"/>
      <c r="B22" s="1619"/>
      <c r="C22" s="2557" t="str">
        <f>CONCATENATE("4 Não
►",F4,)</f>
        <v>4 Não
►(7A.04)</v>
      </c>
      <c r="D22" s="1118"/>
      <c r="E22" s="1118"/>
      <c r="F22" s="2527" t="str">
        <f>CONCATENATE("4 Não
►",I4,)</f>
        <v>4 Não
►(7A.07)</v>
      </c>
      <c r="G22" s="1118"/>
      <c r="H22" s="1118"/>
      <c r="I22" s="2527" t="str">
        <f>CONCATENATE("4 Não
►",M4,)</f>
        <v>4 Não
►(7A.10)</v>
      </c>
      <c r="J22" s="1118"/>
      <c r="K22" s="1118"/>
      <c r="L22" s="2478"/>
      <c r="M22" s="2557" t="str">
        <f>CONCATENATE("4 Não
►",P4,)</f>
        <v>4 Não
►(7A.13)</v>
      </c>
      <c r="N22" s="1118"/>
      <c r="O22" s="1118"/>
      <c r="P22" s="2527" t="str">
        <f>CONCATENATE("4 Não
►",S4,)</f>
        <v>4 Não
►(7A.16)</v>
      </c>
      <c r="Q22" s="1620"/>
      <c r="R22" s="1620"/>
      <c r="S22" s="2527" t="str">
        <f>CONCATENATE("4 Não
►",V4,)</f>
        <v>4 Não
►(7A.19)</v>
      </c>
      <c r="T22" s="1118"/>
      <c r="U22" s="1118"/>
      <c r="V22" s="2527" t="s">
        <v>1105</v>
      </c>
      <c r="W22" s="1118"/>
      <c r="X22" s="1118"/>
    </row>
    <row r="23" spans="1:24" ht="13.5">
      <c r="A23" s="2478"/>
      <c r="B23" s="1619"/>
      <c r="C23" s="2558"/>
      <c r="D23" s="1118"/>
      <c r="E23" s="1118"/>
      <c r="F23" s="2559"/>
      <c r="G23" s="1118"/>
      <c r="H23" s="1118"/>
      <c r="I23" s="2559"/>
      <c r="J23" s="1118"/>
      <c r="K23" s="1118"/>
      <c r="L23" s="2478"/>
      <c r="M23" s="2558"/>
      <c r="N23" s="1621"/>
      <c r="O23" s="1621"/>
      <c r="P23" s="2559"/>
      <c r="Q23" s="1622"/>
      <c r="R23" s="1622"/>
      <c r="S23" s="2559"/>
      <c r="T23" s="1621"/>
      <c r="U23" s="1621"/>
      <c r="V23" s="2559"/>
      <c r="W23" s="1118"/>
      <c r="X23" s="1118"/>
    </row>
    <row r="24" spans="1:24" ht="24" customHeight="1" thickBot="1">
      <c r="A24" s="2479"/>
      <c r="B24" s="1623" t="s">
        <v>1106</v>
      </c>
      <c r="C24" s="1624" t="s">
        <v>420</v>
      </c>
      <c r="D24" s="1625" t="s">
        <v>428</v>
      </c>
      <c r="E24" s="1625" t="s">
        <v>428</v>
      </c>
      <c r="F24" s="1624" t="s">
        <v>420</v>
      </c>
      <c r="G24" s="1625" t="s">
        <v>428</v>
      </c>
      <c r="H24" s="1625" t="s">
        <v>428</v>
      </c>
      <c r="I24" s="1624" t="s">
        <v>420</v>
      </c>
      <c r="J24" s="1625" t="s">
        <v>428</v>
      </c>
      <c r="K24" s="1625" t="s">
        <v>428</v>
      </c>
      <c r="L24" s="2479"/>
      <c r="M24" s="1626" t="s">
        <v>420</v>
      </c>
      <c r="N24" s="1627" t="s">
        <v>428</v>
      </c>
      <c r="O24" s="1627" t="s">
        <v>428</v>
      </c>
      <c r="P24" s="1626" t="s">
        <v>420</v>
      </c>
      <c r="Q24" s="1627" t="s">
        <v>428</v>
      </c>
      <c r="R24" s="1627" t="s">
        <v>428</v>
      </c>
      <c r="S24" s="1626" t="s">
        <v>420</v>
      </c>
      <c r="T24" s="1627" t="s">
        <v>428</v>
      </c>
      <c r="U24" s="1627" t="s">
        <v>428</v>
      </c>
      <c r="V24" s="1626" t="s">
        <v>420</v>
      </c>
      <c r="W24" s="1627" t="s">
        <v>428</v>
      </c>
      <c r="X24" s="1627" t="s">
        <v>428</v>
      </c>
    </row>
    <row r="25" spans="1:24" ht="15" thickTop="1" thickBot="1">
      <c r="A25" s="1581">
        <v>98</v>
      </c>
      <c r="B25" s="726"/>
      <c r="C25" s="734"/>
      <c r="D25" s="734"/>
      <c r="E25" s="734"/>
      <c r="F25" s="734"/>
      <c r="G25" s="734"/>
      <c r="H25" s="734"/>
      <c r="I25" s="734"/>
      <c r="J25" s="734"/>
      <c r="K25" s="734"/>
      <c r="L25" s="1581">
        <v>98</v>
      </c>
      <c r="M25" s="734"/>
      <c r="N25" s="734"/>
      <c r="O25" s="734"/>
      <c r="P25" s="734"/>
      <c r="Q25" s="734"/>
      <c r="R25" s="734"/>
      <c r="S25" s="734"/>
      <c r="T25" s="734"/>
      <c r="U25" s="734"/>
      <c r="V25" s="734"/>
      <c r="W25" s="734"/>
      <c r="X25" s="734"/>
    </row>
    <row r="26" spans="1:24" ht="14.25" thickTop="1">
      <c r="A26" s="1570">
        <v>1</v>
      </c>
      <c r="B26" s="725"/>
      <c r="C26" s="732"/>
      <c r="D26" s="732"/>
      <c r="E26" s="732"/>
      <c r="F26" s="732"/>
      <c r="G26" s="732"/>
      <c r="H26" s="732"/>
      <c r="I26" s="732"/>
      <c r="J26" s="732"/>
      <c r="K26" s="732"/>
      <c r="L26" s="1570">
        <v>1</v>
      </c>
      <c r="M26" s="732"/>
      <c r="N26" s="732"/>
      <c r="O26" s="732"/>
      <c r="P26" s="732"/>
      <c r="Q26" s="732"/>
      <c r="R26" s="732"/>
      <c r="S26" s="732"/>
      <c r="T26" s="732"/>
      <c r="U26" s="732"/>
      <c r="V26" s="732"/>
      <c r="W26" s="732"/>
      <c r="X26" s="732"/>
    </row>
    <row r="27" spans="1:24" ht="13.5">
      <c r="A27" s="1582">
        <v>2</v>
      </c>
      <c r="B27" s="727"/>
      <c r="C27" s="734"/>
      <c r="D27" s="734"/>
      <c r="E27" s="734"/>
      <c r="F27" s="734"/>
      <c r="G27" s="734"/>
      <c r="H27" s="734"/>
      <c r="I27" s="734"/>
      <c r="J27" s="734"/>
      <c r="K27" s="734"/>
      <c r="L27" s="1582">
        <v>2</v>
      </c>
      <c r="M27" s="734"/>
      <c r="N27" s="734"/>
      <c r="O27" s="734"/>
      <c r="P27" s="734"/>
      <c r="Q27" s="734"/>
      <c r="R27" s="734"/>
      <c r="S27" s="734"/>
      <c r="T27" s="734"/>
      <c r="U27" s="734"/>
      <c r="V27" s="734"/>
      <c r="W27" s="734"/>
      <c r="X27" s="734"/>
    </row>
    <row r="28" spans="1:24" ht="13.5">
      <c r="A28" s="1582">
        <v>3</v>
      </c>
      <c r="B28" s="727"/>
      <c r="C28" s="734"/>
      <c r="D28" s="734"/>
      <c r="E28" s="734"/>
      <c r="F28" s="734"/>
      <c r="G28" s="734"/>
      <c r="H28" s="734"/>
      <c r="I28" s="734"/>
      <c r="J28" s="734"/>
      <c r="K28" s="734"/>
      <c r="L28" s="1582">
        <v>3</v>
      </c>
      <c r="M28" s="734"/>
      <c r="N28" s="734"/>
      <c r="O28" s="734"/>
      <c r="P28" s="734"/>
      <c r="Q28" s="734"/>
      <c r="R28" s="734"/>
      <c r="S28" s="734"/>
      <c r="T28" s="734"/>
      <c r="U28" s="734"/>
      <c r="V28" s="734"/>
      <c r="W28" s="734"/>
      <c r="X28" s="734"/>
    </row>
    <row r="29" spans="1:24" ht="13.5">
      <c r="A29" s="1582">
        <v>4</v>
      </c>
      <c r="B29" s="727"/>
      <c r="C29" s="734"/>
      <c r="D29" s="734"/>
      <c r="E29" s="734"/>
      <c r="F29" s="734"/>
      <c r="G29" s="734"/>
      <c r="H29" s="734"/>
      <c r="I29" s="734"/>
      <c r="J29" s="734"/>
      <c r="K29" s="734"/>
      <c r="L29" s="1582">
        <v>4</v>
      </c>
      <c r="M29" s="734"/>
      <c r="N29" s="734"/>
      <c r="O29" s="734"/>
      <c r="P29" s="734"/>
      <c r="Q29" s="734"/>
      <c r="R29" s="734"/>
      <c r="S29" s="734"/>
      <c r="T29" s="734"/>
      <c r="U29" s="734"/>
      <c r="V29" s="734"/>
      <c r="W29" s="734"/>
      <c r="X29" s="734"/>
    </row>
    <row r="30" spans="1:24" ht="14.25" thickBot="1">
      <c r="A30" s="1582">
        <v>5</v>
      </c>
      <c r="B30" s="727"/>
      <c r="C30" s="736"/>
      <c r="D30" s="736"/>
      <c r="E30" s="736"/>
      <c r="F30" s="736"/>
      <c r="G30" s="736"/>
      <c r="H30" s="736"/>
      <c r="I30" s="736"/>
      <c r="J30" s="736"/>
      <c r="K30" s="736"/>
      <c r="L30" s="1582">
        <v>5</v>
      </c>
      <c r="M30" s="736"/>
      <c r="N30" s="736"/>
      <c r="O30" s="736"/>
      <c r="P30" s="736"/>
      <c r="Q30" s="736"/>
      <c r="R30" s="736"/>
      <c r="S30" s="736"/>
      <c r="T30" s="736"/>
      <c r="U30" s="736"/>
      <c r="V30" s="736"/>
      <c r="W30" s="736"/>
      <c r="X30" s="736"/>
    </row>
    <row r="31" spans="1:24" ht="14.25" thickTop="1">
      <c r="A31" s="1570">
        <v>6</v>
      </c>
      <c r="B31" s="725"/>
      <c r="C31" s="732"/>
      <c r="D31" s="732"/>
      <c r="E31" s="732"/>
      <c r="F31" s="732"/>
      <c r="G31" s="732"/>
      <c r="H31" s="732"/>
      <c r="I31" s="732"/>
      <c r="J31" s="732"/>
      <c r="K31" s="732"/>
      <c r="L31" s="1570">
        <v>6</v>
      </c>
      <c r="M31" s="732"/>
      <c r="N31" s="732"/>
      <c r="O31" s="732"/>
      <c r="P31" s="732"/>
      <c r="Q31" s="732"/>
      <c r="R31" s="732"/>
      <c r="S31" s="732"/>
      <c r="T31" s="732"/>
      <c r="U31" s="732"/>
      <c r="V31" s="732"/>
      <c r="W31" s="732"/>
      <c r="X31" s="732"/>
    </row>
    <row r="32" spans="1:24" ht="13.5">
      <c r="A32" s="1628">
        <v>7</v>
      </c>
      <c r="B32" s="1629"/>
      <c r="C32" s="738"/>
      <c r="D32" s="738"/>
      <c r="E32" s="738"/>
      <c r="F32" s="738"/>
      <c r="G32" s="738"/>
      <c r="H32" s="738"/>
      <c r="I32" s="738"/>
      <c r="J32" s="738"/>
      <c r="K32" s="738"/>
      <c r="L32" s="1628">
        <v>7</v>
      </c>
      <c r="M32" s="738"/>
      <c r="N32" s="738"/>
      <c r="O32" s="738"/>
      <c r="P32" s="738"/>
      <c r="Q32" s="738"/>
      <c r="R32" s="738"/>
      <c r="S32" s="738"/>
      <c r="T32" s="738"/>
      <c r="U32" s="738"/>
      <c r="V32" s="738"/>
      <c r="W32" s="738"/>
      <c r="X32" s="738"/>
    </row>
    <row r="33" spans="1:24" ht="13.5">
      <c r="A33" s="1582">
        <v>8</v>
      </c>
      <c r="B33" s="727"/>
      <c r="C33" s="734"/>
      <c r="D33" s="734"/>
      <c r="E33" s="734"/>
      <c r="F33" s="734"/>
      <c r="G33" s="734"/>
      <c r="H33" s="734"/>
      <c r="I33" s="734"/>
      <c r="J33" s="734"/>
      <c r="K33" s="734"/>
      <c r="L33" s="1582">
        <v>8</v>
      </c>
      <c r="M33" s="734"/>
      <c r="N33" s="734"/>
      <c r="O33" s="734"/>
      <c r="P33" s="734"/>
      <c r="Q33" s="734"/>
      <c r="R33" s="734"/>
      <c r="S33" s="734"/>
      <c r="T33" s="734"/>
      <c r="U33" s="734"/>
      <c r="V33" s="734"/>
      <c r="W33" s="734"/>
      <c r="X33" s="734"/>
    </row>
    <row r="34" spans="1:24" ht="13.5">
      <c r="A34" s="1582">
        <v>9</v>
      </c>
      <c r="B34" s="727"/>
      <c r="C34" s="734"/>
      <c r="D34" s="734"/>
      <c r="E34" s="734"/>
      <c r="F34" s="734"/>
      <c r="G34" s="734"/>
      <c r="H34" s="734"/>
      <c r="I34" s="734"/>
      <c r="J34" s="734"/>
      <c r="K34" s="734"/>
      <c r="L34" s="1582">
        <v>9</v>
      </c>
      <c r="M34" s="734"/>
      <c r="N34" s="734"/>
      <c r="O34" s="734"/>
      <c r="P34" s="734"/>
      <c r="Q34" s="734"/>
      <c r="R34" s="734"/>
      <c r="S34" s="734"/>
      <c r="T34" s="734"/>
      <c r="U34" s="734"/>
      <c r="V34" s="734"/>
      <c r="W34" s="734"/>
      <c r="X34" s="734"/>
    </row>
    <row r="35" spans="1:24" ht="14.25" thickBot="1">
      <c r="A35" s="1582">
        <v>10</v>
      </c>
      <c r="B35" s="727"/>
      <c r="C35" s="736"/>
      <c r="D35" s="736"/>
      <c r="E35" s="736"/>
      <c r="F35" s="736"/>
      <c r="G35" s="736"/>
      <c r="H35" s="736"/>
      <c r="I35" s="736"/>
      <c r="J35" s="736"/>
      <c r="K35" s="736"/>
      <c r="L35" s="1582">
        <v>10</v>
      </c>
      <c r="M35" s="736"/>
      <c r="N35" s="736"/>
      <c r="O35" s="736"/>
      <c r="P35" s="736"/>
      <c r="Q35" s="736"/>
      <c r="R35" s="736"/>
      <c r="S35" s="736"/>
      <c r="T35" s="736"/>
      <c r="U35" s="736"/>
      <c r="V35" s="736"/>
      <c r="W35" s="736"/>
      <c r="X35" s="736"/>
    </row>
    <row r="36" spans="1:24" ht="14.25" thickTop="1">
      <c r="A36" s="1570">
        <v>11</v>
      </c>
      <c r="B36" s="725"/>
      <c r="C36" s="732"/>
      <c r="D36" s="732"/>
      <c r="E36" s="732"/>
      <c r="F36" s="732"/>
      <c r="G36" s="732"/>
      <c r="H36" s="732"/>
      <c r="I36" s="732"/>
      <c r="J36" s="732"/>
      <c r="K36" s="732"/>
      <c r="L36" s="1570">
        <v>11</v>
      </c>
      <c r="M36" s="732"/>
      <c r="N36" s="732"/>
      <c r="O36" s="732"/>
      <c r="P36" s="732"/>
      <c r="Q36" s="732"/>
      <c r="R36" s="732"/>
      <c r="S36" s="732"/>
      <c r="T36" s="732"/>
      <c r="U36" s="732"/>
      <c r="V36" s="732"/>
      <c r="W36" s="732"/>
      <c r="X36" s="732"/>
    </row>
    <row r="37" spans="1:24" ht="13.5">
      <c r="A37" s="1582">
        <v>12</v>
      </c>
      <c r="B37" s="727"/>
      <c r="C37" s="734"/>
      <c r="D37" s="734"/>
      <c r="E37" s="734"/>
      <c r="F37" s="734"/>
      <c r="G37" s="734"/>
      <c r="H37" s="734"/>
      <c r="I37" s="734"/>
      <c r="J37" s="734"/>
      <c r="K37" s="734"/>
      <c r="L37" s="1582">
        <v>12</v>
      </c>
      <c r="M37" s="734"/>
      <c r="N37" s="734"/>
      <c r="O37" s="734"/>
      <c r="P37" s="734"/>
      <c r="Q37" s="734"/>
      <c r="R37" s="734"/>
      <c r="S37" s="734"/>
      <c r="T37" s="734"/>
      <c r="U37" s="734"/>
      <c r="V37" s="734"/>
      <c r="W37" s="734"/>
      <c r="X37" s="734"/>
    </row>
    <row r="38" spans="1:24" ht="13.5">
      <c r="A38" s="1582">
        <v>13</v>
      </c>
      <c r="B38" s="727"/>
      <c r="C38" s="734"/>
      <c r="D38" s="734"/>
      <c r="E38" s="734"/>
      <c r="F38" s="734"/>
      <c r="G38" s="734"/>
      <c r="H38" s="734"/>
      <c r="I38" s="734"/>
      <c r="J38" s="734"/>
      <c r="K38" s="734"/>
      <c r="L38" s="1582">
        <v>13</v>
      </c>
      <c r="M38" s="734"/>
      <c r="N38" s="734"/>
      <c r="O38" s="734"/>
      <c r="P38" s="734"/>
      <c r="Q38" s="734"/>
      <c r="R38" s="734"/>
      <c r="S38" s="734"/>
      <c r="T38" s="734"/>
      <c r="U38" s="734"/>
      <c r="V38" s="734"/>
      <c r="W38" s="734"/>
      <c r="X38" s="734"/>
    </row>
    <row r="39" spans="1:24" ht="13.5">
      <c r="A39" s="1582">
        <v>14</v>
      </c>
      <c r="B39" s="727"/>
      <c r="C39" s="734"/>
      <c r="D39" s="734"/>
      <c r="E39" s="734"/>
      <c r="F39" s="734"/>
      <c r="G39" s="734"/>
      <c r="H39" s="734"/>
      <c r="I39" s="734"/>
      <c r="J39" s="734"/>
      <c r="K39" s="734"/>
      <c r="L39" s="1582">
        <v>14</v>
      </c>
      <c r="M39" s="734"/>
      <c r="N39" s="734"/>
      <c r="O39" s="734"/>
      <c r="P39" s="734"/>
      <c r="Q39" s="734"/>
      <c r="R39" s="734"/>
      <c r="S39" s="734"/>
      <c r="T39" s="734"/>
      <c r="U39" s="734"/>
      <c r="V39" s="734"/>
      <c r="W39" s="734"/>
      <c r="X39" s="734"/>
    </row>
    <row r="40" spans="1:24" ht="13.5">
      <c r="A40" s="1582">
        <v>15</v>
      </c>
      <c r="B40" s="727"/>
      <c r="C40" s="734"/>
      <c r="D40" s="734"/>
      <c r="E40" s="734"/>
      <c r="F40" s="734"/>
      <c r="G40" s="734"/>
      <c r="H40" s="734"/>
      <c r="I40" s="734"/>
      <c r="J40" s="734"/>
      <c r="K40" s="734"/>
      <c r="L40" s="1582">
        <v>15</v>
      </c>
      <c r="M40" s="734"/>
      <c r="N40" s="734"/>
      <c r="O40" s="734"/>
      <c r="P40" s="734"/>
      <c r="Q40" s="734"/>
      <c r="R40" s="734"/>
      <c r="S40" s="734"/>
      <c r="T40" s="734"/>
      <c r="U40" s="734"/>
      <c r="V40" s="734"/>
      <c r="W40" s="734"/>
      <c r="X40" s="734"/>
    </row>
  </sheetData>
  <customSheetViews>
    <customSheetView guid="{9C153D9E-615C-443B-9CD7-551163282F03}" scale="160" showPageBreaks="1" view="pageBreakPreview" topLeftCell="O1">
      <selection activeCell="E5" sqref="E5:E14"/>
      <colBreaks count="1" manualBreakCount="1">
        <brk id="10" max="1048575" man="1"/>
      </colBreaks>
      <pageMargins left="0" right="0" top="0" bottom="0" header="0" footer="0"/>
      <pageSetup firstPageNumber="49" orientation="landscape" r:id="rId1"/>
      <headerFooter>
        <oddFooter>&amp;C&amp;P</oddFooter>
      </headerFooter>
    </customSheetView>
    <customSheetView guid="{BE9F68F7-D81B-4526-9959-D871EC50BDFF}" scale="160" showPageBreaks="1" view="pageBreakPreview" topLeftCell="O1">
      <selection activeCell="E5" sqref="E5:E14"/>
      <colBreaks count="1" manualBreakCount="1">
        <brk id="10" max="1048575" man="1"/>
      </colBreaks>
      <pageMargins left="0" right="0" top="0" bottom="0" header="0" footer="0"/>
      <pageSetup firstPageNumber="49" orientation="landscape" r:id="rId2"/>
      <headerFooter>
        <oddFooter>&amp;C&amp;P</oddFooter>
      </headerFooter>
    </customSheetView>
    <customSheetView guid="{EF790C5B-80DA-4544-9EB7-EFE0323B2298}" scale="160" showPageBreaks="1" view="pageBreakPreview">
      <selection activeCell="D5" sqref="D5:D19"/>
      <colBreaks count="1" manualBreakCount="1">
        <brk id="11" max="1048575" man="1"/>
      </colBreaks>
      <pageMargins left="0" right="0" top="0" bottom="0" header="0" footer="0"/>
      <pageSetup firstPageNumber="49" orientation="landscape" r:id="rId3"/>
      <headerFooter>
        <oddFooter>&amp;C&amp;P</oddFooter>
      </headerFooter>
    </customSheetView>
    <customSheetView guid="{C9D2DBB1-CD01-4732-8C86-64BE16C94753}" scale="110" showPageBreaks="1" view="pageBreakPreview">
      <colBreaks count="1" manualBreakCount="1">
        <brk id="10" max="1048575" man="1"/>
      </colBreaks>
      <pageMargins left="0" right="0" top="0" bottom="0" header="0" footer="0"/>
      <pageSetup firstPageNumber="49" orientation="landscape" r:id="rId4"/>
      <headerFooter>
        <oddFooter>&amp;C&amp;P</oddFooter>
      </headerFooter>
    </customSheetView>
    <customSheetView guid="{BFEC163F-7C4E-49B7-9F32-15225772E72F}" scale="122" showPageBreaks="1" view="pageBreakPreview">
      <selection activeCell="K1" sqref="K1"/>
      <colBreaks count="1" manualBreakCount="1">
        <brk id="10" max="1048575" man="1"/>
      </colBreaks>
      <pageMargins left="0" right="0" top="0" bottom="0" header="0" footer="0"/>
      <pageSetup firstPageNumber="49" orientation="landscape" r:id="rId5"/>
      <headerFooter>
        <oddFooter>&amp;C&amp;P</oddFooter>
      </headerFooter>
    </customSheetView>
    <customSheetView guid="{5529DB6B-163A-4048-9107-267B30B97DF3}" scale="110" showPageBreaks="1" view="pageBreakPreview" topLeftCell="G1">
      <selection activeCell="O21" sqref="O21"/>
      <colBreaks count="1" manualBreakCount="1">
        <brk id="10" max="1048575" man="1"/>
      </colBreaks>
      <pageMargins left="0" right="0" top="0" bottom="0" header="0" footer="0"/>
      <pageSetup firstPageNumber="49" orientation="landscape" r:id="rId6"/>
      <headerFooter>
        <oddFooter>&amp;C&amp;P</oddFooter>
      </headerFooter>
    </customSheetView>
    <customSheetView guid="{9B0763AA-FA4B-479A-900C-C113E8BEEFEB}" scale="110" showPageBreaks="1" view="pageBreakPreview" topLeftCell="G1">
      <selection activeCell="O21" sqref="O21"/>
      <colBreaks count="1" manualBreakCount="1">
        <brk id="10" max="1048575" man="1"/>
      </colBreaks>
      <pageMargins left="0" right="0" top="0" bottom="0" header="0" footer="0"/>
      <pageSetup firstPageNumber="49" orientation="landscape" r:id="rId7"/>
      <headerFooter>
        <oddFooter>&amp;C&amp;P</oddFooter>
      </headerFooter>
    </customSheetView>
    <customSheetView guid="{89903799-8228-4A6D-8A81-7F80BC61226D}" scale="160" showPageBreaks="1" view="pageBreakPreview" topLeftCell="O7">
      <selection activeCell="H20" sqref="H20"/>
      <colBreaks count="1" manualBreakCount="1">
        <brk id="10" max="1048575" man="1"/>
      </colBreaks>
      <pageMargins left="0" right="0" top="0" bottom="0" header="0" footer="0"/>
      <pageSetup firstPageNumber="49" orientation="landscape" r:id="rId8"/>
      <headerFooter>
        <oddFooter>&amp;C&amp;P</oddFooter>
      </headerFooter>
    </customSheetView>
    <customSheetView guid="{2524630E-605A-4616-AD5D-6CF7B1E9752C}" scale="160" showPageBreaks="1" view="pageBreakPreview">
      <selection activeCell="D5" sqref="D5:D19"/>
      <colBreaks count="1" manualBreakCount="1">
        <brk id="11" max="1048575" man="1"/>
      </colBreaks>
      <pageMargins left="0" right="0" top="0" bottom="0" header="0" footer="0"/>
      <pageSetup firstPageNumber="49" orientation="landscape" r:id="rId9"/>
      <headerFooter>
        <oddFooter>&amp;C&amp;P</oddFooter>
      </headerFooter>
    </customSheetView>
  </customSheetViews>
  <mergeCells count="31">
    <mergeCell ref="F22:F23"/>
    <mergeCell ref="I22:I23"/>
    <mergeCell ref="X5:X19"/>
    <mergeCell ref="U5:U19"/>
    <mergeCell ref="L4:L24"/>
    <mergeCell ref="J5:J19"/>
    <mergeCell ref="K5:K19"/>
    <mergeCell ref="V5:V13"/>
    <mergeCell ref="P22:P23"/>
    <mergeCell ref="S22:S23"/>
    <mergeCell ref="V22:V23"/>
    <mergeCell ref="W5:W20"/>
    <mergeCell ref="T5:T19"/>
    <mergeCell ref="R5:R20"/>
    <mergeCell ref="N5:N19"/>
    <mergeCell ref="B5:B9"/>
    <mergeCell ref="A4:A24"/>
    <mergeCell ref="E5:E19"/>
    <mergeCell ref="S5:S13"/>
    <mergeCell ref="M22:M23"/>
    <mergeCell ref="C22:C23"/>
    <mergeCell ref="P5:P14"/>
    <mergeCell ref="O5:O19"/>
    <mergeCell ref="F5:F14"/>
    <mergeCell ref="Q5:Q20"/>
    <mergeCell ref="M5:M14"/>
    <mergeCell ref="C5:C16"/>
    <mergeCell ref="D5:D19"/>
    <mergeCell ref="I5:I13"/>
    <mergeCell ref="G5:G19"/>
    <mergeCell ref="H5:H19"/>
  </mergeCells>
  <pageMargins left="0.314" right="0.314" top="0.11799999999999999" bottom="0.27500000000000002" header="0.157" footer="0.11799999999999999"/>
  <pageSetup scale="91" firstPageNumber="49" orientation="landscape" r:id="rId10"/>
  <headerFooter>
    <oddFooter>&amp;C&amp;P</oddFooter>
  </headerFooter>
  <colBreaks count="1" manualBreakCount="1">
    <brk id="10"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K209"/>
  <sheetViews>
    <sheetView view="pageBreakPreview" topLeftCell="A199" zoomScale="170" zoomScaleNormal="120" zoomScaleSheetLayoutView="170" workbookViewId="0">
      <selection activeCell="B181" sqref="B181"/>
    </sheetView>
  </sheetViews>
  <sheetFormatPr defaultColWidth="9.140625" defaultRowHeight="12.75"/>
  <cols>
    <col min="1" max="1" width="5.7109375" style="537" customWidth="1"/>
    <col min="2" max="2" width="36" style="1391" customWidth="1"/>
    <col min="3" max="3" width="11" style="536" customWidth="1"/>
    <col min="4" max="4" width="8.7109375" style="537" customWidth="1"/>
    <col min="5" max="5" width="6.7109375" style="537" customWidth="1"/>
    <col min="6" max="6" width="10.28515625" style="537" customWidth="1"/>
    <col min="7" max="7" width="11.28515625" style="537" customWidth="1"/>
    <col min="8" max="8" width="19.85546875" style="537" customWidth="1"/>
    <col min="9" max="9" width="9" style="537" customWidth="1"/>
    <col min="10" max="10" width="7.85546875" style="537" customWidth="1"/>
    <col min="11" max="11" width="11" style="537" customWidth="1"/>
    <col min="12" max="16384" width="9.140625" style="271"/>
  </cols>
  <sheetData>
    <row r="1" spans="1:11">
      <c r="A1" s="535" t="s">
        <v>1107</v>
      </c>
      <c r="B1" s="1389"/>
    </row>
    <row r="2" spans="1:11" ht="13.5">
      <c r="A2" s="535"/>
      <c r="B2" s="1390" t="s">
        <v>1108</v>
      </c>
      <c r="C2" s="135"/>
    </row>
    <row r="3" spans="1:11">
      <c r="A3" s="539"/>
      <c r="B3" s="1389"/>
    </row>
    <row r="4" spans="1:11">
      <c r="A4" s="1633"/>
      <c r="B4" s="1630"/>
      <c r="C4" s="2563" t="s">
        <v>1109</v>
      </c>
      <c r="D4" s="2564"/>
      <c r="E4" s="2564"/>
      <c r="F4" s="2564"/>
      <c r="G4" s="2565"/>
      <c r="H4" s="2563" t="s">
        <v>1110</v>
      </c>
      <c r="I4" s="2564"/>
      <c r="J4" s="2564"/>
      <c r="K4" s="2565"/>
    </row>
    <row r="5" spans="1:11" ht="13.5">
      <c r="A5" s="1634" t="s">
        <v>1111</v>
      </c>
      <c r="B5" s="1120"/>
      <c r="C5" s="1138" t="s">
        <v>1112</v>
      </c>
      <c r="D5" s="2569" t="s">
        <v>1113</v>
      </c>
      <c r="E5" s="2570"/>
      <c r="F5" s="1635" t="s">
        <v>1114</v>
      </c>
      <c r="G5" s="1636" t="s">
        <v>1115</v>
      </c>
      <c r="H5" s="1635" t="s">
        <v>1116</v>
      </c>
      <c r="I5" s="2569" t="s">
        <v>1117</v>
      </c>
      <c r="J5" s="2570"/>
      <c r="K5" s="1636" t="s">
        <v>1118</v>
      </c>
    </row>
    <row r="6" spans="1:11" ht="12.75" customHeight="1">
      <c r="A6" s="2560" t="s">
        <v>1119</v>
      </c>
      <c r="B6" s="2567" t="s">
        <v>1120</v>
      </c>
      <c r="C6" s="2464" t="s">
        <v>1121</v>
      </c>
      <c r="D6" s="2573" t="s">
        <v>1122</v>
      </c>
      <c r="E6" s="2574"/>
      <c r="F6" s="2571" t="s">
        <v>1123</v>
      </c>
      <c r="G6" s="2566" t="s">
        <v>1124</v>
      </c>
      <c r="H6" s="2566" t="s">
        <v>1125</v>
      </c>
      <c r="I6" s="2573" t="s">
        <v>1126</v>
      </c>
      <c r="J6" s="2574"/>
      <c r="K6" s="2566" t="s">
        <v>1127</v>
      </c>
    </row>
    <row r="7" spans="1:11" ht="12.75" customHeight="1">
      <c r="A7" s="2561"/>
      <c r="B7" s="2567"/>
      <c r="C7" s="2464"/>
      <c r="D7" s="2464"/>
      <c r="E7" s="2476"/>
      <c r="F7" s="2572"/>
      <c r="G7" s="2431"/>
      <c r="H7" s="2431"/>
      <c r="I7" s="2464"/>
      <c r="J7" s="2476"/>
      <c r="K7" s="2431"/>
    </row>
    <row r="8" spans="1:11" ht="12.75" customHeight="1">
      <c r="A8" s="2561"/>
      <c r="B8" s="2567"/>
      <c r="C8" s="2464"/>
      <c r="D8" s="2464"/>
      <c r="E8" s="2476"/>
      <c r="F8" s="2572"/>
      <c r="G8" s="2431"/>
      <c r="H8" s="2431"/>
      <c r="I8" s="2464"/>
      <c r="J8" s="2476"/>
      <c r="K8" s="2431"/>
    </row>
    <row r="9" spans="1:11" ht="12.75" customHeight="1">
      <c r="A9" s="2561"/>
      <c r="B9" s="2567"/>
      <c r="C9" s="2464"/>
      <c r="D9" s="2464"/>
      <c r="E9" s="2476"/>
      <c r="F9" s="2572"/>
      <c r="G9" s="2431"/>
      <c r="H9" s="2431"/>
      <c r="I9" s="2464"/>
      <c r="J9" s="2476"/>
      <c r="K9" s="2431"/>
    </row>
    <row r="10" spans="1:11" ht="12.75" customHeight="1">
      <c r="A10" s="2561"/>
      <c r="B10" s="2567"/>
      <c r="C10" s="2464"/>
      <c r="D10" s="2464"/>
      <c r="E10" s="2476"/>
      <c r="F10" s="2572"/>
      <c r="G10" s="2431"/>
      <c r="H10" s="2431"/>
      <c r="I10" s="2464"/>
      <c r="J10" s="2476"/>
      <c r="K10" s="2431"/>
    </row>
    <row r="11" spans="1:11" ht="13.5" customHeight="1">
      <c r="A11" s="2561"/>
      <c r="B11" s="2567"/>
      <c r="C11" s="2464"/>
      <c r="D11" s="2464"/>
      <c r="E11" s="2476"/>
      <c r="F11" s="2572"/>
      <c r="G11" s="2431"/>
      <c r="H11" s="2431"/>
      <c r="I11" s="2464"/>
      <c r="J11" s="2476"/>
      <c r="K11" s="2431"/>
    </row>
    <row r="12" spans="1:11" ht="13.5" customHeight="1">
      <c r="A12" s="2561"/>
      <c r="B12" s="2567"/>
      <c r="C12" s="2464"/>
      <c r="D12" s="2464"/>
      <c r="E12" s="2476"/>
      <c r="F12" s="2572"/>
      <c r="G12" s="2431"/>
      <c r="H12" s="2431"/>
      <c r="I12" s="2464"/>
      <c r="J12" s="2476"/>
      <c r="K12" s="2431"/>
    </row>
    <row r="13" spans="1:11" ht="13.5" customHeight="1">
      <c r="A13" s="2561"/>
      <c r="B13" s="2567"/>
      <c r="C13" s="1637" t="s">
        <v>1128</v>
      </c>
      <c r="D13" s="2464"/>
      <c r="E13" s="2476"/>
      <c r="F13" s="2572"/>
      <c r="G13" s="2431"/>
      <c r="H13" s="2431"/>
      <c r="I13" s="2464"/>
      <c r="J13" s="2476"/>
      <c r="K13" s="2431"/>
    </row>
    <row r="14" spans="1:11" ht="13.5" customHeight="1">
      <c r="A14" s="2561"/>
      <c r="B14" s="2567"/>
      <c r="C14" s="2568" t="str">
        <f>CONCATENATE("2=Não ►Linha seguinte",)</f>
        <v>2=Não ►Linha seguinte</v>
      </c>
      <c r="D14" s="2464"/>
      <c r="E14" s="2476"/>
      <c r="F14" s="2572"/>
      <c r="G14" s="2431"/>
      <c r="H14" s="2431"/>
      <c r="I14" s="2464"/>
      <c r="J14" s="2476"/>
      <c r="K14" s="2431"/>
    </row>
    <row r="15" spans="1:11" ht="13.5" customHeight="1">
      <c r="A15" s="2561"/>
      <c r="B15" s="2567"/>
      <c r="C15" s="2568"/>
      <c r="D15" s="2464"/>
      <c r="E15" s="2476"/>
      <c r="F15" s="2572"/>
      <c r="G15" s="2431"/>
      <c r="H15" s="2431"/>
      <c r="I15" s="2464"/>
      <c r="J15" s="2476"/>
      <c r="K15" s="2431"/>
    </row>
    <row r="16" spans="1:11" ht="13.5">
      <c r="A16" s="2561"/>
      <c r="B16" s="2567"/>
      <c r="C16" s="1128"/>
      <c r="D16" s="1638"/>
      <c r="E16" s="1639"/>
      <c r="F16" s="1640"/>
      <c r="G16" s="1641"/>
      <c r="H16" s="1640"/>
      <c r="I16" s="1642"/>
      <c r="J16" s="1643"/>
      <c r="K16" s="1641"/>
    </row>
    <row r="17" spans="1:11" ht="26.25" customHeight="1">
      <c r="A17" s="2562"/>
      <c r="B17" s="1644" t="s">
        <v>1129</v>
      </c>
      <c r="C17" s="1645" t="s">
        <v>420</v>
      </c>
      <c r="D17" s="1646" t="s">
        <v>1130</v>
      </c>
      <c r="E17" s="1647" t="s">
        <v>1131</v>
      </c>
      <c r="F17" s="1646" t="s">
        <v>1130</v>
      </c>
      <c r="G17" s="1646" t="s">
        <v>1130</v>
      </c>
      <c r="H17" s="1648" t="s">
        <v>420</v>
      </c>
      <c r="I17" s="1646" t="s">
        <v>1130</v>
      </c>
      <c r="J17" s="1649" t="s">
        <v>1131</v>
      </c>
      <c r="K17" s="1646" t="s">
        <v>1132</v>
      </c>
    </row>
    <row r="18" spans="1:11">
      <c r="A18" s="1650"/>
      <c r="B18" s="1631" t="s">
        <v>1133</v>
      </c>
      <c r="C18" s="1651"/>
      <c r="D18" s="1652"/>
      <c r="E18" s="1653"/>
      <c r="F18" s="1652"/>
      <c r="G18" s="1652"/>
      <c r="H18" s="1652"/>
      <c r="I18" s="1652"/>
      <c r="J18" s="1652"/>
      <c r="K18" s="1652"/>
    </row>
    <row r="19" spans="1:11" ht="17.100000000000001" customHeight="1">
      <c r="A19" s="1654">
        <v>1</v>
      </c>
      <c r="B19" s="1655" t="s">
        <v>1134</v>
      </c>
      <c r="C19" s="1656"/>
      <c r="D19" s="1657"/>
      <c r="E19" s="1657"/>
      <c r="F19" s="1657"/>
      <c r="G19" s="1657"/>
      <c r="H19" s="1657"/>
      <c r="I19" s="1657"/>
      <c r="J19" s="1657"/>
      <c r="K19" s="1657"/>
    </row>
    <row r="20" spans="1:11" ht="17.100000000000001" customHeight="1">
      <c r="A20" s="1654">
        <f>A19+1</f>
        <v>2</v>
      </c>
      <c r="B20" s="1655" t="s">
        <v>1135</v>
      </c>
      <c r="C20" s="1658"/>
      <c r="D20" s="1659"/>
      <c r="E20" s="1659"/>
      <c r="F20" s="1659"/>
      <c r="G20" s="1659"/>
      <c r="H20" s="1659"/>
      <c r="I20" s="1659"/>
      <c r="J20" s="1659"/>
      <c r="K20" s="1659"/>
    </row>
    <row r="21" spans="1:11" ht="17.100000000000001" customHeight="1">
      <c r="A21" s="1654">
        <f>A20+1</f>
        <v>3</v>
      </c>
      <c r="B21" s="1655" t="s">
        <v>1136</v>
      </c>
      <c r="C21" s="1658"/>
      <c r="D21" s="1659"/>
      <c r="E21" s="1659"/>
      <c r="F21" s="1659"/>
      <c r="G21" s="1659"/>
      <c r="H21" s="1659"/>
      <c r="I21" s="1659"/>
      <c r="J21" s="1659"/>
      <c r="K21" s="1659"/>
    </row>
    <row r="22" spans="1:11" ht="17.100000000000001" customHeight="1">
      <c r="A22" s="1654">
        <f t="shared" ref="A22:A102" si="0">A21+1</f>
        <v>4</v>
      </c>
      <c r="B22" s="1655" t="s">
        <v>1137</v>
      </c>
      <c r="C22" s="1658"/>
      <c r="D22" s="1659"/>
      <c r="E22" s="1659"/>
      <c r="F22" s="1659"/>
      <c r="G22" s="1659"/>
      <c r="H22" s="1659"/>
      <c r="I22" s="1659"/>
      <c r="J22" s="1659"/>
      <c r="K22" s="1659"/>
    </row>
    <row r="23" spans="1:11" s="769" customFormat="1" ht="17.100000000000001" customHeight="1">
      <c r="A23" s="1654">
        <v>166</v>
      </c>
      <c r="B23" s="1655" t="s">
        <v>1138</v>
      </c>
      <c r="C23" s="1658"/>
      <c r="D23" s="1659"/>
      <c r="E23" s="1659"/>
      <c r="F23" s="1659"/>
      <c r="G23" s="1659"/>
      <c r="H23" s="1659"/>
      <c r="I23" s="1659"/>
      <c r="J23" s="1659"/>
      <c r="K23" s="1659"/>
    </row>
    <row r="24" spans="1:11" ht="17.100000000000001" customHeight="1">
      <c r="A24" s="1654">
        <f>A22+1</f>
        <v>5</v>
      </c>
      <c r="B24" s="1660" t="s">
        <v>1139</v>
      </c>
      <c r="C24" s="1658"/>
      <c r="D24" s="1659"/>
      <c r="E24" s="1659"/>
      <c r="F24" s="1659"/>
      <c r="G24" s="1659"/>
      <c r="H24" s="1659"/>
      <c r="I24" s="1659"/>
      <c r="J24" s="1659"/>
      <c r="K24" s="1659"/>
    </row>
    <row r="25" spans="1:11" ht="17.100000000000001" customHeight="1">
      <c r="A25" s="1654">
        <f t="shared" si="0"/>
        <v>6</v>
      </c>
      <c r="B25" s="1660" t="s">
        <v>1140</v>
      </c>
      <c r="C25" s="1658"/>
      <c r="D25" s="1659"/>
      <c r="E25" s="1659"/>
      <c r="F25" s="1659"/>
      <c r="G25" s="1659"/>
      <c r="H25" s="1659"/>
      <c r="I25" s="1659"/>
      <c r="J25" s="1659"/>
      <c r="K25" s="1659"/>
    </row>
    <row r="26" spans="1:11" ht="17.100000000000001" customHeight="1">
      <c r="A26" s="1654">
        <f t="shared" si="0"/>
        <v>7</v>
      </c>
      <c r="B26" s="1660" t="s">
        <v>1141</v>
      </c>
      <c r="C26" s="1658"/>
      <c r="D26" s="1659"/>
      <c r="E26" s="1659"/>
      <c r="F26" s="1659"/>
      <c r="G26" s="1659"/>
      <c r="H26" s="1659"/>
      <c r="I26" s="1659"/>
      <c r="J26" s="1659"/>
      <c r="K26" s="1659"/>
    </row>
    <row r="27" spans="1:11" ht="17.100000000000001" customHeight="1">
      <c r="A27" s="1654">
        <f t="shared" si="0"/>
        <v>8</v>
      </c>
      <c r="B27" s="1660" t="s">
        <v>1142</v>
      </c>
      <c r="C27" s="1658"/>
      <c r="D27" s="1659"/>
      <c r="E27" s="1659"/>
      <c r="F27" s="1659"/>
      <c r="G27" s="1659"/>
      <c r="H27" s="1659"/>
      <c r="I27" s="1659"/>
      <c r="J27" s="1659"/>
      <c r="K27" s="1659"/>
    </row>
    <row r="28" spans="1:11" ht="17.100000000000001" customHeight="1">
      <c r="A28" s="1654">
        <f t="shared" si="0"/>
        <v>9</v>
      </c>
      <c r="B28" s="1660" t="s">
        <v>1143</v>
      </c>
      <c r="C28" s="1658"/>
      <c r="D28" s="1659"/>
      <c r="E28" s="1659"/>
      <c r="F28" s="1659"/>
      <c r="G28" s="1659"/>
      <c r="H28" s="1659"/>
      <c r="I28" s="1659"/>
      <c r="J28" s="1659"/>
      <c r="K28" s="1659"/>
    </row>
    <row r="29" spans="1:11" ht="17.100000000000001" customHeight="1">
      <c r="A29" s="1654">
        <f t="shared" si="0"/>
        <v>10</v>
      </c>
      <c r="B29" s="1660" t="s">
        <v>1144</v>
      </c>
      <c r="C29" s="1658"/>
      <c r="D29" s="1659"/>
      <c r="E29" s="1659"/>
      <c r="F29" s="1659"/>
      <c r="G29" s="1659"/>
      <c r="H29" s="1659"/>
      <c r="I29" s="1659"/>
      <c r="J29" s="1659"/>
      <c r="K29" s="1659"/>
    </row>
    <row r="30" spans="1:11" ht="17.100000000000001" customHeight="1">
      <c r="A30" s="1654">
        <f t="shared" si="0"/>
        <v>11</v>
      </c>
      <c r="B30" s="1660" t="s">
        <v>1145</v>
      </c>
      <c r="C30" s="1658"/>
      <c r="D30" s="1659"/>
      <c r="E30" s="1659"/>
      <c r="F30" s="1659"/>
      <c r="G30" s="1659"/>
      <c r="H30" s="1659"/>
      <c r="I30" s="1659"/>
      <c r="J30" s="1659"/>
      <c r="K30" s="1659"/>
    </row>
    <row r="31" spans="1:11" ht="17.100000000000001" customHeight="1">
      <c r="A31" s="1654">
        <f t="shared" si="0"/>
        <v>12</v>
      </c>
      <c r="B31" s="1660" t="s">
        <v>1146</v>
      </c>
      <c r="C31" s="1658"/>
      <c r="D31" s="1659"/>
      <c r="E31" s="1659"/>
      <c r="F31" s="1659"/>
      <c r="G31" s="1659"/>
      <c r="H31" s="1659"/>
      <c r="I31" s="1659"/>
      <c r="J31" s="1659"/>
      <c r="K31" s="1659"/>
    </row>
    <row r="32" spans="1:11" ht="17.100000000000001" customHeight="1">
      <c r="A32" s="1654">
        <f t="shared" si="0"/>
        <v>13</v>
      </c>
      <c r="B32" s="1660" t="s">
        <v>1147</v>
      </c>
      <c r="C32" s="1658"/>
      <c r="D32" s="1659"/>
      <c r="E32" s="1659"/>
      <c r="F32" s="1659"/>
      <c r="G32" s="1659"/>
      <c r="H32" s="1659"/>
      <c r="I32" s="1659"/>
      <c r="J32" s="1659"/>
      <c r="K32" s="1659"/>
    </row>
    <row r="33" spans="1:11" ht="17.100000000000001" customHeight="1">
      <c r="A33" s="1654">
        <f t="shared" si="0"/>
        <v>14</v>
      </c>
      <c r="B33" s="1660" t="s">
        <v>1148</v>
      </c>
      <c r="C33" s="1658"/>
      <c r="D33" s="1659"/>
      <c r="E33" s="1659"/>
      <c r="F33" s="1659"/>
      <c r="G33" s="1659"/>
      <c r="H33" s="1659"/>
      <c r="I33" s="1659"/>
      <c r="J33" s="1659"/>
      <c r="K33" s="1659"/>
    </row>
    <row r="34" spans="1:11" ht="17.100000000000001" customHeight="1">
      <c r="A34" s="1654">
        <f t="shared" si="0"/>
        <v>15</v>
      </c>
      <c r="B34" s="1661" t="s">
        <v>1149</v>
      </c>
      <c r="C34" s="1658"/>
      <c r="D34" s="1659"/>
      <c r="E34" s="1659"/>
      <c r="F34" s="1659"/>
      <c r="G34" s="1659"/>
      <c r="H34" s="1659"/>
      <c r="I34" s="1659"/>
      <c r="J34" s="1659"/>
      <c r="K34" s="1659"/>
    </row>
    <row r="35" spans="1:11" ht="17.100000000000001" customHeight="1">
      <c r="A35" s="1662">
        <f t="shared" si="0"/>
        <v>16</v>
      </c>
      <c r="B35" s="1600" t="s">
        <v>1150</v>
      </c>
      <c r="C35" s="1658"/>
      <c r="D35" s="1659"/>
      <c r="E35" s="1659"/>
      <c r="F35" s="1659"/>
      <c r="G35" s="1659"/>
      <c r="H35" s="1659"/>
      <c r="I35" s="1659"/>
      <c r="J35" s="1659"/>
      <c r="K35" s="1659"/>
    </row>
    <row r="36" spans="1:11" ht="17.100000000000001" customHeight="1">
      <c r="A36" s="1654">
        <f t="shared" si="0"/>
        <v>17</v>
      </c>
      <c r="B36" s="1663" t="s">
        <v>1151</v>
      </c>
      <c r="C36" s="1658"/>
      <c r="D36" s="1659"/>
      <c r="E36" s="1659"/>
      <c r="F36" s="1659"/>
      <c r="G36" s="1659"/>
      <c r="H36" s="1659"/>
      <c r="I36" s="1659"/>
      <c r="J36" s="1659"/>
      <c r="K36" s="1659"/>
    </row>
    <row r="37" spans="1:11" ht="17.100000000000001" customHeight="1">
      <c r="A37" s="1654">
        <f t="shared" si="0"/>
        <v>18</v>
      </c>
      <c r="B37" s="1664" t="s">
        <v>1152</v>
      </c>
      <c r="C37" s="1658"/>
      <c r="D37" s="1659"/>
      <c r="E37" s="1659"/>
      <c r="F37" s="1659"/>
      <c r="G37" s="1659"/>
      <c r="H37" s="1659"/>
      <c r="I37" s="1659"/>
      <c r="J37" s="1659"/>
      <c r="K37" s="1659"/>
    </row>
    <row r="38" spans="1:11" ht="17.100000000000001" customHeight="1">
      <c r="A38" s="1662">
        <f t="shared" si="0"/>
        <v>19</v>
      </c>
      <c r="B38" s="1600" t="s">
        <v>1153</v>
      </c>
      <c r="C38" s="1658"/>
      <c r="D38" s="1659"/>
      <c r="E38" s="1659"/>
      <c r="F38" s="1659"/>
      <c r="G38" s="1659"/>
      <c r="H38" s="1659"/>
      <c r="I38" s="1659"/>
      <c r="J38" s="1659"/>
      <c r="K38" s="1659"/>
    </row>
    <row r="39" spans="1:11" ht="17.100000000000001" customHeight="1">
      <c r="A39" s="1654">
        <f t="shared" si="0"/>
        <v>20</v>
      </c>
      <c r="B39" s="1655" t="s">
        <v>1154</v>
      </c>
      <c r="C39" s="1658"/>
      <c r="D39" s="1659"/>
      <c r="E39" s="1659"/>
      <c r="F39" s="1659"/>
      <c r="G39" s="1659"/>
      <c r="H39" s="1659"/>
      <c r="I39" s="1659"/>
      <c r="J39" s="1659"/>
      <c r="K39" s="1659"/>
    </row>
    <row r="40" spans="1:11" ht="17.100000000000001" customHeight="1">
      <c r="A40" s="1654">
        <f t="shared" si="0"/>
        <v>21</v>
      </c>
      <c r="B40" s="1660" t="s">
        <v>1155</v>
      </c>
      <c r="C40" s="1658"/>
      <c r="D40" s="1659"/>
      <c r="E40" s="1659"/>
      <c r="F40" s="1659"/>
      <c r="G40" s="1659"/>
      <c r="H40" s="1659"/>
      <c r="I40" s="1659"/>
      <c r="J40" s="1659"/>
      <c r="K40" s="1659"/>
    </row>
    <row r="41" spans="1:11" s="769" customFormat="1" ht="17.100000000000001" customHeight="1">
      <c r="A41" s="1654">
        <v>167</v>
      </c>
      <c r="B41" s="1660" t="s">
        <v>1156</v>
      </c>
      <c r="C41" s="1658"/>
      <c r="D41" s="1659"/>
      <c r="E41" s="1659"/>
      <c r="F41" s="1659"/>
      <c r="G41" s="1659"/>
      <c r="H41" s="1659"/>
      <c r="I41" s="1659"/>
      <c r="J41" s="1659"/>
      <c r="K41" s="1659"/>
    </row>
    <row r="42" spans="1:11" ht="17.100000000000001" customHeight="1">
      <c r="A42" s="1654">
        <f>A40+1</f>
        <v>22</v>
      </c>
      <c r="B42" s="1660" t="s">
        <v>1157</v>
      </c>
      <c r="C42" s="1658"/>
      <c r="D42" s="1659"/>
      <c r="E42" s="1659"/>
      <c r="F42" s="1659"/>
      <c r="G42" s="1659"/>
      <c r="H42" s="1659"/>
      <c r="I42" s="1659"/>
      <c r="J42" s="1659"/>
      <c r="K42" s="1659"/>
    </row>
    <row r="43" spans="1:11" s="769" customFormat="1" ht="17.100000000000001" customHeight="1">
      <c r="A43" s="1654">
        <v>168</v>
      </c>
      <c r="B43" s="1660" t="s">
        <v>1158</v>
      </c>
      <c r="C43" s="1658"/>
      <c r="D43" s="1659"/>
      <c r="E43" s="1659"/>
      <c r="F43" s="1659"/>
      <c r="G43" s="1659"/>
      <c r="H43" s="1659"/>
      <c r="I43" s="1659"/>
      <c r="J43" s="1659"/>
      <c r="K43" s="1659"/>
    </row>
    <row r="44" spans="1:11" s="769" customFormat="1" ht="17.100000000000001" customHeight="1">
      <c r="A44" s="1654">
        <v>169</v>
      </c>
      <c r="B44" s="1660" t="s">
        <v>1159</v>
      </c>
      <c r="C44" s="1658"/>
      <c r="D44" s="1659"/>
      <c r="E44" s="1659"/>
      <c r="F44" s="1659"/>
      <c r="G44" s="1659"/>
      <c r="H44" s="1659"/>
      <c r="I44" s="1659"/>
      <c r="J44" s="1659"/>
      <c r="K44" s="1659"/>
    </row>
    <row r="45" spans="1:11" ht="13.5">
      <c r="A45" s="1654">
        <f>A42+1</f>
        <v>23</v>
      </c>
      <c r="B45" s="1665" t="s">
        <v>1160</v>
      </c>
      <c r="C45" s="1658"/>
      <c r="D45" s="1659"/>
      <c r="E45" s="1659"/>
      <c r="F45" s="1659"/>
      <c r="G45" s="1659"/>
      <c r="H45" s="1659"/>
      <c r="I45" s="1659"/>
      <c r="J45" s="1659"/>
      <c r="K45" s="1659"/>
    </row>
    <row r="46" spans="1:11" ht="15.95" customHeight="1">
      <c r="A46" s="1654">
        <f t="shared" si="0"/>
        <v>24</v>
      </c>
      <c r="B46" s="1660" t="s">
        <v>1161</v>
      </c>
      <c r="C46" s="1658"/>
      <c r="D46" s="1659"/>
      <c r="E46" s="1659"/>
      <c r="F46" s="1659"/>
      <c r="G46" s="1659"/>
      <c r="H46" s="1659"/>
      <c r="I46" s="1659"/>
      <c r="J46" s="1659"/>
      <c r="K46" s="1659"/>
    </row>
    <row r="47" spans="1:11" ht="15.95" customHeight="1">
      <c r="A47" s="1654">
        <f t="shared" si="0"/>
        <v>25</v>
      </c>
      <c r="B47" s="1660" t="s">
        <v>1162</v>
      </c>
      <c r="C47" s="1658"/>
      <c r="D47" s="1659"/>
      <c r="E47" s="1659"/>
      <c r="F47" s="1659"/>
      <c r="G47" s="1659"/>
      <c r="H47" s="1659"/>
      <c r="I47" s="1659"/>
      <c r="J47" s="1659"/>
      <c r="K47" s="1659"/>
    </row>
    <row r="48" spans="1:11" ht="15.95" customHeight="1">
      <c r="A48" s="1654">
        <f t="shared" si="0"/>
        <v>26</v>
      </c>
      <c r="B48" s="1666" t="s">
        <v>1163</v>
      </c>
      <c r="C48" s="1658"/>
      <c r="D48" s="1659"/>
      <c r="E48" s="1659"/>
      <c r="F48" s="1659"/>
      <c r="G48" s="1659"/>
      <c r="H48" s="1659"/>
      <c r="I48" s="1659"/>
      <c r="J48" s="1659"/>
      <c r="K48" s="1659"/>
    </row>
    <row r="49" spans="1:11" ht="15.95" customHeight="1">
      <c r="A49" s="1654"/>
      <c r="B49" s="1667" t="s">
        <v>1164</v>
      </c>
      <c r="C49" s="1658"/>
      <c r="D49" s="1659"/>
      <c r="E49" s="1659"/>
      <c r="F49" s="1659"/>
      <c r="G49" s="1659"/>
      <c r="H49" s="1659"/>
      <c r="I49" s="1659"/>
      <c r="J49" s="1659"/>
      <c r="K49" s="1659"/>
    </row>
    <row r="50" spans="1:11" ht="15.95" customHeight="1">
      <c r="A50" s="1654">
        <f>A48+1</f>
        <v>27</v>
      </c>
      <c r="B50" s="1668" t="s">
        <v>1165</v>
      </c>
      <c r="C50" s="1658"/>
      <c r="D50" s="1659"/>
      <c r="E50" s="1659"/>
      <c r="F50" s="1659"/>
      <c r="G50" s="1659"/>
      <c r="H50" s="1659"/>
      <c r="I50" s="1659"/>
      <c r="J50" s="1659"/>
      <c r="K50" s="1659"/>
    </row>
    <row r="51" spans="1:11" ht="15.95" customHeight="1">
      <c r="A51" s="1654">
        <f t="shared" si="0"/>
        <v>28</v>
      </c>
      <c r="B51" s="1661" t="s">
        <v>1166</v>
      </c>
      <c r="C51" s="1658"/>
      <c r="D51" s="1659"/>
      <c r="E51" s="1659"/>
      <c r="F51" s="1659"/>
      <c r="G51" s="1659"/>
      <c r="H51" s="1659"/>
      <c r="I51" s="1659"/>
      <c r="J51" s="1659"/>
      <c r="K51" s="1659"/>
    </row>
    <row r="52" spans="1:11" ht="15.95" customHeight="1">
      <c r="A52" s="1654">
        <f t="shared" si="0"/>
        <v>29</v>
      </c>
      <c r="B52" s="1664" t="s">
        <v>1167</v>
      </c>
      <c r="C52" s="1658"/>
      <c r="D52" s="1659"/>
      <c r="E52" s="1659"/>
      <c r="F52" s="1659"/>
      <c r="G52" s="1659"/>
      <c r="H52" s="1659"/>
      <c r="I52" s="1659"/>
      <c r="J52" s="1659"/>
      <c r="K52" s="1659"/>
    </row>
    <row r="53" spans="1:11" ht="15.95" customHeight="1">
      <c r="A53" s="1654">
        <f t="shared" si="0"/>
        <v>30</v>
      </c>
      <c r="B53" s="1655" t="s">
        <v>1168</v>
      </c>
      <c r="C53" s="1658"/>
      <c r="D53" s="1659"/>
      <c r="E53" s="1659"/>
      <c r="F53" s="1659"/>
      <c r="G53" s="1659"/>
      <c r="H53" s="1659"/>
      <c r="I53" s="1659"/>
      <c r="J53" s="1659"/>
      <c r="K53" s="1659"/>
    </row>
    <row r="54" spans="1:11" ht="15.95" customHeight="1">
      <c r="A54" s="1654">
        <f t="shared" si="0"/>
        <v>31</v>
      </c>
      <c r="B54" s="1660" t="s">
        <v>1169</v>
      </c>
      <c r="C54" s="1658"/>
      <c r="D54" s="1659"/>
      <c r="E54" s="1659"/>
      <c r="F54" s="1659"/>
      <c r="G54" s="1659"/>
      <c r="H54" s="1659"/>
      <c r="I54" s="1659"/>
      <c r="J54" s="1659"/>
      <c r="K54" s="1659"/>
    </row>
    <row r="55" spans="1:11" s="769" customFormat="1" ht="15.95" customHeight="1">
      <c r="A55" s="1654">
        <v>170</v>
      </c>
      <c r="B55" s="1660" t="s">
        <v>1170</v>
      </c>
      <c r="C55" s="1658"/>
      <c r="D55" s="1659"/>
      <c r="E55" s="1659"/>
      <c r="F55" s="1659"/>
      <c r="G55" s="1659"/>
      <c r="H55" s="1659"/>
      <c r="I55" s="1659"/>
      <c r="J55" s="1659"/>
      <c r="K55" s="1659"/>
    </row>
    <row r="56" spans="1:11" ht="13.5">
      <c r="A56" s="1654">
        <f>A54+1</f>
        <v>32</v>
      </c>
      <c r="B56" s="1660" t="s">
        <v>1171</v>
      </c>
      <c r="C56" s="1658"/>
      <c r="D56" s="1659"/>
      <c r="E56" s="1659"/>
      <c r="F56" s="1659"/>
      <c r="G56" s="1659"/>
      <c r="H56" s="1659"/>
      <c r="I56" s="1659"/>
      <c r="J56" s="1659"/>
      <c r="K56" s="1659"/>
    </row>
    <row r="57" spans="1:11" ht="15.95" customHeight="1">
      <c r="A57" s="1654">
        <f t="shared" si="0"/>
        <v>33</v>
      </c>
      <c r="B57" s="1660" t="s">
        <v>1172</v>
      </c>
      <c r="C57" s="1658"/>
      <c r="D57" s="1659"/>
      <c r="E57" s="1659"/>
      <c r="F57" s="1659"/>
      <c r="G57" s="1659"/>
      <c r="H57" s="1659"/>
      <c r="I57" s="1659"/>
      <c r="J57" s="1659"/>
      <c r="K57" s="1659"/>
    </row>
    <row r="58" spans="1:11" s="769" customFormat="1" ht="15.95" customHeight="1">
      <c r="A58" s="1654">
        <v>171</v>
      </c>
      <c r="B58" s="1660" t="s">
        <v>1173</v>
      </c>
      <c r="C58" s="1658"/>
      <c r="D58" s="1659"/>
      <c r="E58" s="1659"/>
      <c r="F58" s="1659"/>
      <c r="G58" s="1659"/>
      <c r="H58" s="1659"/>
      <c r="I58" s="1659"/>
      <c r="J58" s="1659"/>
      <c r="K58" s="1659"/>
    </row>
    <row r="59" spans="1:11" ht="15.95" customHeight="1">
      <c r="A59" s="1654">
        <f>A57+1</f>
        <v>34</v>
      </c>
      <c r="B59" s="1660" t="s">
        <v>1174</v>
      </c>
      <c r="C59" s="1658"/>
      <c r="D59" s="1659"/>
      <c r="E59" s="1659"/>
      <c r="F59" s="1659"/>
      <c r="G59" s="1659"/>
      <c r="H59" s="1659"/>
      <c r="I59" s="1659"/>
      <c r="J59" s="1659"/>
      <c r="K59" s="1659"/>
    </row>
    <row r="60" spans="1:11" ht="15.95" customHeight="1">
      <c r="A60" s="1654">
        <f t="shared" si="0"/>
        <v>35</v>
      </c>
      <c r="B60" s="1660" t="s">
        <v>1175</v>
      </c>
      <c r="C60" s="1658"/>
      <c r="D60" s="1659"/>
      <c r="E60" s="1659"/>
      <c r="F60" s="1659"/>
      <c r="G60" s="1659"/>
      <c r="H60" s="1659"/>
      <c r="I60" s="1659"/>
      <c r="J60" s="1659"/>
      <c r="K60" s="1659"/>
    </row>
    <row r="61" spans="1:11" ht="15.95" customHeight="1">
      <c r="A61" s="1654">
        <f t="shared" si="0"/>
        <v>36</v>
      </c>
      <c r="B61" s="1660" t="s">
        <v>1176</v>
      </c>
      <c r="C61" s="1658"/>
      <c r="D61" s="1659"/>
      <c r="E61" s="1659"/>
      <c r="F61" s="1659"/>
      <c r="G61" s="1659"/>
      <c r="H61" s="1659"/>
      <c r="I61" s="1659"/>
      <c r="J61" s="1659"/>
      <c r="K61" s="1659"/>
    </row>
    <row r="62" spans="1:11" ht="15.95" customHeight="1">
      <c r="A62" s="1654">
        <f t="shared" si="0"/>
        <v>37</v>
      </c>
      <c r="B62" s="1660" t="s">
        <v>1177</v>
      </c>
      <c r="C62" s="1658"/>
      <c r="D62" s="1659"/>
      <c r="E62" s="1659"/>
      <c r="F62" s="1659"/>
      <c r="G62" s="1659"/>
      <c r="H62" s="1659"/>
      <c r="I62" s="1659"/>
      <c r="J62" s="1659"/>
      <c r="K62" s="1659"/>
    </row>
    <row r="63" spans="1:11" ht="15.95" customHeight="1">
      <c r="A63" s="1654">
        <f t="shared" si="0"/>
        <v>38</v>
      </c>
      <c r="B63" s="1660" t="s">
        <v>1178</v>
      </c>
      <c r="C63" s="1658"/>
      <c r="D63" s="1659"/>
      <c r="E63" s="1659"/>
      <c r="F63" s="1659"/>
      <c r="G63" s="1659"/>
      <c r="H63" s="1659"/>
      <c r="I63" s="1659"/>
      <c r="J63" s="1659"/>
      <c r="K63" s="1659"/>
    </row>
    <row r="64" spans="1:11" ht="15.95" customHeight="1">
      <c r="A64" s="1654">
        <f t="shared" si="0"/>
        <v>39</v>
      </c>
      <c r="B64" s="1666" t="s">
        <v>1179</v>
      </c>
      <c r="C64" s="1658"/>
      <c r="D64" s="1659"/>
      <c r="E64" s="1659"/>
      <c r="F64" s="1659"/>
      <c r="G64" s="1659"/>
      <c r="H64" s="1659"/>
      <c r="I64" s="1659"/>
      <c r="J64" s="1659"/>
      <c r="K64" s="1659"/>
    </row>
    <row r="65" spans="1:11" ht="15.95" customHeight="1">
      <c r="A65" s="1654"/>
      <c r="B65" s="1669" t="s">
        <v>1180</v>
      </c>
      <c r="C65" s="1658"/>
      <c r="D65" s="1659"/>
      <c r="E65" s="1659"/>
      <c r="F65" s="1659"/>
      <c r="G65" s="1659"/>
      <c r="H65" s="1659"/>
      <c r="I65" s="1659"/>
      <c r="J65" s="1659"/>
      <c r="K65" s="1659"/>
    </row>
    <row r="66" spans="1:11" ht="15.95" customHeight="1">
      <c r="A66" s="1654">
        <f>A64+1</f>
        <v>40</v>
      </c>
      <c r="B66" s="1655" t="s">
        <v>1181</v>
      </c>
      <c r="C66" s="1658"/>
      <c r="D66" s="1659"/>
      <c r="E66" s="1659"/>
      <c r="F66" s="1659"/>
      <c r="G66" s="1659"/>
      <c r="H66" s="1659"/>
      <c r="I66" s="1659"/>
      <c r="J66" s="1659"/>
      <c r="K66" s="1659"/>
    </row>
    <row r="67" spans="1:11" ht="15.95" customHeight="1">
      <c r="A67" s="1654">
        <f t="shared" si="0"/>
        <v>41</v>
      </c>
      <c r="B67" s="1655" t="s">
        <v>1182</v>
      </c>
      <c r="C67" s="1658"/>
      <c r="D67" s="1659"/>
      <c r="E67" s="1659"/>
      <c r="F67" s="1659"/>
      <c r="G67" s="1659"/>
      <c r="H67" s="1659"/>
      <c r="I67" s="1659"/>
      <c r="J67" s="1659"/>
      <c r="K67" s="1659"/>
    </row>
    <row r="68" spans="1:11" ht="13.5">
      <c r="A68" s="1654">
        <f t="shared" si="0"/>
        <v>42</v>
      </c>
      <c r="B68" s="1655" t="s">
        <v>1183</v>
      </c>
      <c r="C68" s="1658"/>
      <c r="D68" s="1659"/>
      <c r="E68" s="1659"/>
      <c r="F68" s="1659"/>
      <c r="G68" s="1659"/>
      <c r="H68" s="1659"/>
      <c r="I68" s="1659"/>
      <c r="J68" s="1659"/>
      <c r="K68" s="1659"/>
    </row>
    <row r="69" spans="1:11" ht="15.95" customHeight="1">
      <c r="A69" s="1654">
        <f t="shared" si="0"/>
        <v>43</v>
      </c>
      <c r="B69" s="1655" t="s">
        <v>1184</v>
      </c>
      <c r="C69" s="1658"/>
      <c r="D69" s="1659"/>
      <c r="E69" s="1659"/>
      <c r="F69" s="1659"/>
      <c r="G69" s="1659"/>
      <c r="H69" s="1659"/>
      <c r="I69" s="1659"/>
      <c r="J69" s="1659"/>
      <c r="K69" s="1659"/>
    </row>
    <row r="70" spans="1:11" ht="13.5">
      <c r="A70" s="1654">
        <f t="shared" si="0"/>
        <v>44</v>
      </c>
      <c r="B70" s="1660" t="s">
        <v>1185</v>
      </c>
      <c r="C70" s="1658"/>
      <c r="D70" s="1659"/>
      <c r="E70" s="1659"/>
      <c r="F70" s="1659"/>
      <c r="G70" s="1659"/>
      <c r="H70" s="1659"/>
      <c r="I70" s="1659"/>
      <c r="J70" s="1659"/>
      <c r="K70" s="1659"/>
    </row>
    <row r="71" spans="1:11" ht="13.5">
      <c r="A71" s="1654">
        <f t="shared" si="0"/>
        <v>45</v>
      </c>
      <c r="B71" s="1661" t="s">
        <v>1186</v>
      </c>
      <c r="C71" s="1658"/>
      <c r="D71" s="1659"/>
      <c r="E71" s="1659"/>
      <c r="F71" s="1659"/>
      <c r="G71" s="1659"/>
      <c r="H71" s="1659"/>
      <c r="I71" s="1659"/>
      <c r="J71" s="1659"/>
      <c r="K71" s="1659"/>
    </row>
    <row r="72" spans="1:11" s="769" customFormat="1" ht="13.5">
      <c r="A72" s="1654">
        <v>172</v>
      </c>
      <c r="B72" s="1661" t="s">
        <v>1187</v>
      </c>
      <c r="C72" s="1658"/>
      <c r="D72" s="1659"/>
      <c r="E72" s="1659"/>
      <c r="F72" s="1659"/>
      <c r="G72" s="1659"/>
      <c r="H72" s="1659"/>
      <c r="I72" s="1659"/>
      <c r="J72" s="1659"/>
      <c r="K72" s="1659"/>
    </row>
    <row r="73" spans="1:11" ht="13.5">
      <c r="A73" s="1654">
        <f>A71+1</f>
        <v>46</v>
      </c>
      <c r="B73" s="1661" t="s">
        <v>1188</v>
      </c>
      <c r="C73" s="1658"/>
      <c r="D73" s="1659"/>
      <c r="E73" s="1659"/>
      <c r="F73" s="1659"/>
      <c r="G73" s="1659"/>
      <c r="H73" s="1659"/>
      <c r="I73" s="1659"/>
      <c r="J73" s="1659"/>
      <c r="K73" s="1659"/>
    </row>
    <row r="74" spans="1:11" ht="13.5">
      <c r="A74" s="1654">
        <f t="shared" si="0"/>
        <v>47</v>
      </c>
      <c r="B74" s="1670" t="s">
        <v>1189</v>
      </c>
      <c r="C74" s="1658"/>
      <c r="D74" s="1659"/>
      <c r="E74" s="1659"/>
      <c r="F74" s="1659"/>
      <c r="G74" s="1659"/>
      <c r="H74" s="1659"/>
      <c r="I74" s="1659"/>
      <c r="J74" s="1659"/>
      <c r="K74" s="1659"/>
    </row>
    <row r="75" spans="1:11" ht="13.5">
      <c r="A75" s="1654">
        <f t="shared" si="0"/>
        <v>48</v>
      </c>
      <c r="B75" s="1670" t="s">
        <v>1190</v>
      </c>
      <c r="C75" s="1658"/>
      <c r="D75" s="1659"/>
      <c r="E75" s="1659"/>
      <c r="F75" s="1659"/>
      <c r="G75" s="1659"/>
      <c r="H75" s="1659"/>
      <c r="I75" s="1659"/>
      <c r="J75" s="1659"/>
      <c r="K75" s="1659"/>
    </row>
    <row r="76" spans="1:11" ht="13.5">
      <c r="A76" s="1654">
        <f t="shared" si="0"/>
        <v>49</v>
      </c>
      <c r="B76" s="1670" t="s">
        <v>1191</v>
      </c>
      <c r="C76" s="1658"/>
      <c r="D76" s="1659"/>
      <c r="E76" s="1659"/>
      <c r="F76" s="1659"/>
      <c r="G76" s="1659"/>
      <c r="H76" s="1659"/>
      <c r="I76" s="1659"/>
      <c r="J76" s="1659"/>
      <c r="K76" s="1659"/>
    </row>
    <row r="77" spans="1:11" s="769" customFormat="1" ht="13.5">
      <c r="A77" s="1654">
        <v>173</v>
      </c>
      <c r="B77" s="1670" t="s">
        <v>1192</v>
      </c>
      <c r="C77" s="1658"/>
      <c r="D77" s="1659"/>
      <c r="E77" s="1659"/>
      <c r="F77" s="1659"/>
      <c r="G77" s="1659"/>
      <c r="H77" s="1659"/>
      <c r="I77" s="1659"/>
      <c r="J77" s="1659"/>
      <c r="K77" s="1659"/>
    </row>
    <row r="78" spans="1:11" ht="13.5">
      <c r="A78" s="1654">
        <f>A76+1</f>
        <v>50</v>
      </c>
      <c r="B78" s="1670" t="s">
        <v>1193</v>
      </c>
      <c r="C78" s="1658"/>
      <c r="D78" s="1659"/>
      <c r="E78" s="1659"/>
      <c r="F78" s="1659"/>
      <c r="G78" s="1659"/>
      <c r="H78" s="1659"/>
      <c r="I78" s="1659"/>
      <c r="J78" s="1659"/>
      <c r="K78" s="1659"/>
    </row>
    <row r="79" spans="1:11" ht="13.5">
      <c r="A79" s="1654">
        <f t="shared" si="0"/>
        <v>51</v>
      </c>
      <c r="B79" s="1671" t="s">
        <v>1194</v>
      </c>
      <c r="C79" s="1658"/>
      <c r="D79" s="1659"/>
      <c r="E79" s="1659"/>
      <c r="F79" s="1659"/>
      <c r="G79" s="1659"/>
      <c r="H79" s="1659"/>
      <c r="I79" s="1659"/>
      <c r="J79" s="1659"/>
      <c r="K79" s="1659"/>
    </row>
    <row r="80" spans="1:11" ht="13.5">
      <c r="A80" s="1654"/>
      <c r="B80" s="1669" t="s">
        <v>1195</v>
      </c>
      <c r="C80" s="1658"/>
      <c r="D80" s="1659"/>
      <c r="E80" s="1659"/>
      <c r="F80" s="1659"/>
      <c r="G80" s="1659"/>
      <c r="H80" s="1659"/>
      <c r="I80" s="1659"/>
      <c r="J80" s="1659"/>
      <c r="K80" s="1659"/>
    </row>
    <row r="81" spans="1:11" ht="13.5">
      <c r="A81" s="1654">
        <f>A79+1</f>
        <v>52</v>
      </c>
      <c r="B81" s="1655" t="s">
        <v>1196</v>
      </c>
      <c r="C81" s="769"/>
      <c r="D81" s="1659"/>
      <c r="E81" s="1659"/>
      <c r="F81" s="1659"/>
      <c r="G81" s="1659"/>
      <c r="H81" s="1659"/>
      <c r="I81" s="1659"/>
      <c r="J81" s="1659"/>
      <c r="K81" s="1659"/>
    </row>
    <row r="82" spans="1:11" s="769" customFormat="1" ht="13.5">
      <c r="A82" s="1654">
        <v>174</v>
      </c>
      <c r="B82" s="1655" t="s">
        <v>1197</v>
      </c>
      <c r="D82" s="1659"/>
      <c r="E82" s="1659"/>
      <c r="F82" s="1659"/>
      <c r="G82" s="1659"/>
      <c r="H82" s="1659"/>
      <c r="I82" s="1659"/>
      <c r="J82" s="1659"/>
      <c r="K82" s="1659"/>
    </row>
    <row r="83" spans="1:11" ht="13.5">
      <c r="A83" s="1654">
        <f>A81+1</f>
        <v>53</v>
      </c>
      <c r="B83" s="1661" t="s">
        <v>1198</v>
      </c>
      <c r="C83" s="769"/>
      <c r="D83" s="1659"/>
      <c r="E83" s="1659"/>
      <c r="F83" s="1659"/>
      <c r="G83" s="1659"/>
      <c r="H83" s="1659"/>
      <c r="I83" s="1659"/>
      <c r="J83" s="1659"/>
      <c r="K83" s="1659"/>
    </row>
    <row r="84" spans="1:11" ht="13.5">
      <c r="A84" s="1654">
        <f t="shared" ref="A84:A90" si="1">A83+1</f>
        <v>54</v>
      </c>
      <c r="B84" s="1664" t="s">
        <v>1199</v>
      </c>
      <c r="C84" s="769"/>
      <c r="D84" s="1659"/>
      <c r="E84" s="1659"/>
      <c r="F84" s="1659"/>
      <c r="G84" s="1659"/>
      <c r="H84" s="1659"/>
      <c r="I84" s="1659"/>
      <c r="J84" s="1659"/>
      <c r="K84" s="1659"/>
    </row>
    <row r="85" spans="1:11" ht="13.5">
      <c r="A85" s="1654">
        <f t="shared" si="1"/>
        <v>55</v>
      </c>
      <c r="B85" s="1664" t="s">
        <v>1200</v>
      </c>
      <c r="C85" s="769"/>
      <c r="D85" s="1659"/>
      <c r="E85" s="1659"/>
      <c r="F85" s="1659"/>
      <c r="G85" s="1659"/>
      <c r="H85" s="1659"/>
      <c r="I85" s="1659"/>
      <c r="J85" s="1659"/>
      <c r="K85" s="1659"/>
    </row>
    <row r="86" spans="1:11" ht="13.5">
      <c r="A86" s="1654">
        <f t="shared" si="1"/>
        <v>56</v>
      </c>
      <c r="B86" s="1655" t="s">
        <v>1201</v>
      </c>
      <c r="C86" s="769"/>
      <c r="D86" s="1659"/>
      <c r="E86" s="1659"/>
      <c r="F86" s="1659"/>
      <c r="G86" s="1659"/>
      <c r="H86" s="1659"/>
      <c r="I86" s="1659"/>
      <c r="J86" s="1659"/>
      <c r="K86" s="1659"/>
    </row>
    <row r="87" spans="1:11" ht="13.5">
      <c r="A87" s="1654">
        <f t="shared" si="1"/>
        <v>57</v>
      </c>
      <c r="B87" s="1660" t="s">
        <v>1202</v>
      </c>
      <c r="C87" s="1658"/>
      <c r="D87" s="1659"/>
      <c r="E87" s="1659"/>
      <c r="F87" s="1659"/>
      <c r="G87" s="1659"/>
      <c r="H87" s="1659"/>
      <c r="I87" s="1659"/>
      <c r="J87" s="1659"/>
      <c r="K87" s="1659"/>
    </row>
    <row r="88" spans="1:11" ht="13.5">
      <c r="A88" s="1654">
        <f t="shared" si="1"/>
        <v>58</v>
      </c>
      <c r="B88" s="1660" t="s">
        <v>1203</v>
      </c>
      <c r="C88" s="1658"/>
      <c r="D88" s="1659"/>
      <c r="E88" s="1659"/>
      <c r="F88" s="1659"/>
      <c r="G88" s="1659"/>
      <c r="H88" s="1659"/>
      <c r="I88" s="1659"/>
      <c r="J88" s="1659"/>
      <c r="K88" s="1659"/>
    </row>
    <row r="89" spans="1:11" ht="13.5">
      <c r="A89" s="1654">
        <f t="shared" si="1"/>
        <v>59</v>
      </c>
      <c r="B89" s="1660" t="s">
        <v>1204</v>
      </c>
      <c r="C89" s="1658"/>
      <c r="D89" s="1659"/>
      <c r="E89" s="1659"/>
      <c r="F89" s="1659"/>
      <c r="G89" s="1659"/>
      <c r="H89" s="1659"/>
      <c r="I89" s="1659"/>
      <c r="J89" s="1659"/>
      <c r="K89" s="1659"/>
    </row>
    <row r="90" spans="1:11" ht="13.5">
      <c r="A90" s="1654">
        <f t="shared" si="1"/>
        <v>60</v>
      </c>
      <c r="B90" s="1666" t="s">
        <v>1205</v>
      </c>
      <c r="C90" s="1658"/>
      <c r="D90" s="1659"/>
      <c r="E90" s="1659"/>
      <c r="F90" s="1659"/>
      <c r="G90" s="1659"/>
      <c r="H90" s="1659"/>
      <c r="I90" s="1659"/>
      <c r="J90" s="1659"/>
      <c r="K90" s="1659"/>
    </row>
    <row r="91" spans="1:11" ht="13.5">
      <c r="A91" s="1654"/>
      <c r="B91" s="1669" t="s">
        <v>1206</v>
      </c>
      <c r="C91" s="1658"/>
      <c r="D91" s="1659"/>
      <c r="E91" s="1659"/>
      <c r="F91" s="1659"/>
      <c r="G91" s="1659"/>
      <c r="H91" s="1659"/>
      <c r="I91" s="1659"/>
      <c r="J91" s="1659"/>
      <c r="K91" s="1659"/>
    </row>
    <row r="92" spans="1:11" ht="13.5">
      <c r="A92" s="1654">
        <f>A90+1</f>
        <v>61</v>
      </c>
      <c r="B92" s="1663" t="s">
        <v>1207</v>
      </c>
      <c r="C92" s="1658"/>
      <c r="D92" s="1659"/>
      <c r="E92" s="1659"/>
      <c r="F92" s="1659"/>
      <c r="G92" s="1659"/>
      <c r="H92" s="1659"/>
      <c r="I92" s="1659"/>
      <c r="J92" s="1659"/>
      <c r="K92" s="1659"/>
    </row>
    <row r="93" spans="1:11" ht="13.5">
      <c r="A93" s="1654">
        <f t="shared" si="0"/>
        <v>62</v>
      </c>
      <c r="B93" s="1600" t="s">
        <v>1208</v>
      </c>
      <c r="C93" s="1658"/>
      <c r="D93" s="1659"/>
      <c r="E93" s="1659"/>
      <c r="F93" s="1659"/>
      <c r="G93" s="1659"/>
      <c r="H93" s="1659"/>
      <c r="I93" s="1659"/>
      <c r="J93" s="1659"/>
      <c r="K93" s="1659"/>
    </row>
    <row r="94" spans="1:11" ht="13.5">
      <c r="A94" s="1654">
        <f t="shared" si="0"/>
        <v>63</v>
      </c>
      <c r="B94" s="1664" t="s">
        <v>1209</v>
      </c>
      <c r="C94" s="1658"/>
      <c r="D94" s="1659"/>
      <c r="E94" s="1659"/>
      <c r="F94" s="1659"/>
      <c r="G94" s="1659"/>
      <c r="H94" s="1659"/>
      <c r="I94" s="1659"/>
      <c r="J94" s="1659"/>
      <c r="K94" s="1659"/>
    </row>
    <row r="95" spans="1:11" ht="13.5">
      <c r="A95" s="1654">
        <f t="shared" si="0"/>
        <v>64</v>
      </c>
      <c r="B95" s="1655" t="s">
        <v>1210</v>
      </c>
      <c r="C95" s="1658"/>
      <c r="D95" s="1659"/>
      <c r="E95" s="1659"/>
      <c r="F95" s="1659"/>
      <c r="G95" s="1659"/>
      <c r="H95" s="1659"/>
      <c r="I95" s="1659"/>
      <c r="J95" s="1659"/>
      <c r="K95" s="1659"/>
    </row>
    <row r="96" spans="1:11" ht="13.5">
      <c r="A96" s="1654">
        <f t="shared" si="0"/>
        <v>65</v>
      </c>
      <c r="B96" s="1655" t="s">
        <v>1211</v>
      </c>
      <c r="C96" s="1658"/>
      <c r="D96" s="1659"/>
      <c r="E96" s="1659"/>
      <c r="F96" s="1659"/>
      <c r="G96" s="1659"/>
      <c r="H96" s="1659"/>
      <c r="I96" s="1659"/>
      <c r="J96" s="1659"/>
      <c r="K96" s="1659"/>
    </row>
    <row r="97" spans="1:11" ht="13.5">
      <c r="A97" s="1654">
        <f t="shared" si="0"/>
        <v>66</v>
      </c>
      <c r="B97" s="1655" t="s">
        <v>1212</v>
      </c>
      <c r="C97" s="1658"/>
      <c r="D97" s="1659"/>
      <c r="E97" s="1659"/>
      <c r="F97" s="1659"/>
      <c r="G97" s="1659"/>
      <c r="H97" s="1659"/>
      <c r="I97" s="1659"/>
      <c r="J97" s="1659"/>
      <c r="K97" s="1659"/>
    </row>
    <row r="98" spans="1:11" ht="13.5">
      <c r="A98" s="1654">
        <f t="shared" si="0"/>
        <v>67</v>
      </c>
      <c r="B98" s="1655" t="s">
        <v>1213</v>
      </c>
      <c r="C98" s="1658"/>
      <c r="D98" s="1659"/>
      <c r="E98" s="1659"/>
      <c r="F98" s="1659"/>
      <c r="G98" s="1659"/>
      <c r="H98" s="1659"/>
      <c r="I98" s="1659"/>
      <c r="J98" s="1659"/>
      <c r="K98" s="1659"/>
    </row>
    <row r="99" spans="1:11" ht="13.5">
      <c r="A99" s="1654">
        <f t="shared" si="0"/>
        <v>68</v>
      </c>
      <c r="B99" s="1660" t="s">
        <v>1214</v>
      </c>
      <c r="C99" s="1658"/>
      <c r="D99" s="1659"/>
      <c r="E99" s="1659"/>
      <c r="F99" s="1659"/>
      <c r="G99" s="1659"/>
      <c r="H99" s="1659"/>
      <c r="I99" s="1659"/>
      <c r="J99" s="1659"/>
      <c r="K99" s="1659"/>
    </row>
    <row r="100" spans="1:11" s="769" customFormat="1" ht="13.5">
      <c r="A100" s="1654">
        <v>175</v>
      </c>
      <c r="B100" s="1660" t="s">
        <v>1215</v>
      </c>
      <c r="C100" s="1658"/>
      <c r="D100" s="1659"/>
      <c r="E100" s="1659"/>
      <c r="F100" s="1659"/>
      <c r="G100" s="1659"/>
      <c r="H100" s="1659"/>
      <c r="I100" s="1659"/>
      <c r="J100" s="1659"/>
      <c r="K100" s="1659"/>
    </row>
    <row r="101" spans="1:11" ht="13.5">
      <c r="A101" s="1654">
        <f>A99+1</f>
        <v>69</v>
      </c>
      <c r="B101" s="1661" t="s">
        <v>1216</v>
      </c>
      <c r="C101" s="1658"/>
      <c r="D101" s="1659"/>
      <c r="E101" s="1659"/>
      <c r="F101" s="1659"/>
      <c r="G101" s="1659"/>
      <c r="H101" s="1659"/>
      <c r="I101" s="1659"/>
      <c r="J101" s="1659"/>
      <c r="K101" s="1659"/>
    </row>
    <row r="102" spans="1:11" ht="13.5">
      <c r="A102" s="1654">
        <f t="shared" si="0"/>
        <v>70</v>
      </c>
      <c r="B102" s="1666" t="s">
        <v>1217</v>
      </c>
      <c r="C102" s="1658"/>
      <c r="D102" s="1659"/>
      <c r="E102" s="1659"/>
      <c r="F102" s="1659"/>
      <c r="G102" s="1659"/>
      <c r="H102" s="1659"/>
      <c r="I102" s="1659"/>
      <c r="J102" s="1659"/>
      <c r="K102" s="1659"/>
    </row>
    <row r="103" spans="1:11" ht="15.6" customHeight="1">
      <c r="A103" s="1654"/>
      <c r="B103" s="1669" t="s">
        <v>1218</v>
      </c>
      <c r="C103" s="1658"/>
      <c r="D103" s="1659"/>
      <c r="E103" s="1659"/>
      <c r="F103" s="1659"/>
      <c r="G103" s="1659"/>
      <c r="H103" s="1659"/>
      <c r="I103" s="1659"/>
      <c r="J103" s="1659"/>
      <c r="K103" s="1659"/>
    </row>
    <row r="104" spans="1:11" ht="15.6" customHeight="1">
      <c r="A104" s="1654">
        <f>A102+1</f>
        <v>71</v>
      </c>
      <c r="B104" s="1663" t="s">
        <v>1219</v>
      </c>
      <c r="C104" s="1658"/>
      <c r="D104" s="1659"/>
      <c r="E104" s="1659"/>
      <c r="F104" s="1659"/>
      <c r="G104" s="1659"/>
      <c r="H104" s="1659"/>
      <c r="I104" s="1659"/>
      <c r="J104" s="1659"/>
      <c r="K104" s="1659"/>
    </row>
    <row r="105" spans="1:11" ht="15.6" customHeight="1">
      <c r="A105" s="1654">
        <f t="shared" ref="A105:A171" si="2">A104+1</f>
        <v>72</v>
      </c>
      <c r="B105" s="1664" t="s">
        <v>1220</v>
      </c>
      <c r="C105" s="1658"/>
      <c r="D105" s="1659"/>
      <c r="E105" s="1659"/>
      <c r="F105" s="1659"/>
      <c r="G105" s="1659"/>
      <c r="H105" s="1659"/>
      <c r="I105" s="1659"/>
      <c r="J105" s="1659"/>
      <c r="K105" s="1659"/>
    </row>
    <row r="106" spans="1:11" ht="13.5">
      <c r="A106" s="1654">
        <f>A105+1</f>
        <v>73</v>
      </c>
      <c r="B106" s="1655" t="s">
        <v>1221</v>
      </c>
      <c r="C106" s="1658"/>
      <c r="D106" s="1659"/>
      <c r="E106" s="1659"/>
      <c r="F106" s="1659"/>
      <c r="G106" s="1659"/>
      <c r="H106" s="1659"/>
      <c r="I106" s="1659"/>
      <c r="J106" s="1659"/>
      <c r="K106" s="1659"/>
    </row>
    <row r="107" spans="1:11" s="541" customFormat="1" ht="15.6" customHeight="1">
      <c r="A107" s="1654">
        <f>A106+1</f>
        <v>74</v>
      </c>
      <c r="B107" s="1666" t="s">
        <v>1222</v>
      </c>
      <c r="C107" s="1672"/>
      <c r="D107" s="1673"/>
      <c r="E107" s="1673"/>
      <c r="F107" s="1673"/>
      <c r="G107" s="1673"/>
      <c r="H107" s="1673"/>
      <c r="I107" s="1673"/>
      <c r="J107" s="1673"/>
      <c r="K107" s="1673"/>
    </row>
    <row r="108" spans="1:11" ht="15.6" customHeight="1">
      <c r="A108" s="1654">
        <f>A107+1</f>
        <v>75</v>
      </c>
      <c r="B108" s="1655" t="s">
        <v>1223</v>
      </c>
      <c r="C108" s="1658"/>
      <c r="D108" s="1659"/>
      <c r="E108" s="1659"/>
      <c r="F108" s="1659"/>
      <c r="G108" s="1659"/>
      <c r="H108" s="1659"/>
      <c r="I108" s="1659"/>
      <c r="J108" s="1659"/>
      <c r="K108" s="1659"/>
    </row>
    <row r="109" spans="1:11" ht="15.6" customHeight="1">
      <c r="A109" s="1654">
        <f>A108+1</f>
        <v>76</v>
      </c>
      <c r="B109" s="1655" t="s">
        <v>1224</v>
      </c>
      <c r="C109" s="1658"/>
      <c r="D109" s="1659"/>
      <c r="E109" s="1659"/>
      <c r="F109" s="1659"/>
      <c r="G109" s="1659"/>
      <c r="H109" s="1659"/>
      <c r="I109" s="1659"/>
      <c r="J109" s="1659"/>
      <c r="K109" s="1659"/>
    </row>
    <row r="110" spans="1:11" ht="15.6" customHeight="1">
      <c r="A110" s="1654">
        <f t="shared" ref="A110:A134" si="3">A109+1</f>
        <v>77</v>
      </c>
      <c r="B110" s="1660" t="s">
        <v>1225</v>
      </c>
      <c r="C110" s="1658"/>
      <c r="D110" s="1659"/>
      <c r="E110" s="1659"/>
      <c r="F110" s="1659"/>
      <c r="G110" s="1659"/>
      <c r="H110" s="1659"/>
      <c r="I110" s="1659"/>
      <c r="J110" s="1659"/>
      <c r="K110" s="1659"/>
    </row>
    <row r="111" spans="1:11" ht="15.6" customHeight="1">
      <c r="A111" s="1654">
        <f t="shared" si="3"/>
        <v>78</v>
      </c>
      <c r="B111" s="1660" t="s">
        <v>1226</v>
      </c>
      <c r="C111" s="1658"/>
      <c r="D111" s="1659"/>
      <c r="E111" s="1659"/>
      <c r="F111" s="1659"/>
      <c r="G111" s="1659"/>
      <c r="H111" s="1659"/>
      <c r="I111" s="1659"/>
      <c r="J111" s="1659"/>
      <c r="K111" s="1659"/>
    </row>
    <row r="112" spans="1:11" ht="15.6" customHeight="1">
      <c r="A112" s="1654">
        <f t="shared" si="3"/>
        <v>79</v>
      </c>
      <c r="B112" s="1660" t="s">
        <v>1227</v>
      </c>
      <c r="C112" s="1658"/>
      <c r="D112" s="1659"/>
      <c r="E112" s="1659"/>
      <c r="F112" s="1659"/>
      <c r="G112" s="1659"/>
      <c r="H112" s="1659"/>
      <c r="I112" s="1659"/>
      <c r="J112" s="1659"/>
      <c r="K112" s="1659"/>
    </row>
    <row r="113" spans="1:11" ht="15.6" customHeight="1">
      <c r="A113" s="1654">
        <f t="shared" si="3"/>
        <v>80</v>
      </c>
      <c r="B113" s="1660" t="s">
        <v>1228</v>
      </c>
      <c r="C113" s="1658"/>
      <c r="D113" s="1659"/>
      <c r="E113" s="1659"/>
      <c r="F113" s="1659"/>
      <c r="G113" s="1659"/>
      <c r="H113" s="1659"/>
      <c r="I113" s="1659"/>
      <c r="J113" s="1659"/>
      <c r="K113" s="1659"/>
    </row>
    <row r="114" spans="1:11" ht="15.6" customHeight="1">
      <c r="A114" s="1654">
        <f t="shared" si="3"/>
        <v>81</v>
      </c>
      <c r="B114" s="1660" t="s">
        <v>1229</v>
      </c>
      <c r="C114" s="1658"/>
      <c r="D114" s="1659"/>
      <c r="E114" s="1659"/>
      <c r="F114" s="1659"/>
      <c r="G114" s="1659"/>
      <c r="H114" s="1659"/>
      <c r="I114" s="1659"/>
      <c r="J114" s="1659"/>
      <c r="K114" s="1659"/>
    </row>
    <row r="115" spans="1:11" ht="15.6" customHeight="1">
      <c r="A115" s="1654">
        <f t="shared" si="3"/>
        <v>82</v>
      </c>
      <c r="B115" s="1661" t="s">
        <v>1230</v>
      </c>
      <c r="C115" s="1658"/>
      <c r="D115" s="1659"/>
      <c r="E115" s="1659"/>
      <c r="F115" s="1659"/>
      <c r="G115" s="1659"/>
      <c r="H115" s="1659"/>
      <c r="I115" s="1659"/>
      <c r="J115" s="1659"/>
      <c r="K115" s="1659"/>
    </row>
    <row r="116" spans="1:11" ht="15.6" customHeight="1">
      <c r="A116" s="1654">
        <f t="shared" si="3"/>
        <v>83</v>
      </c>
      <c r="B116" s="1671" t="s">
        <v>1231</v>
      </c>
      <c r="C116" s="1658"/>
      <c r="D116" s="1659"/>
      <c r="E116" s="1659"/>
      <c r="F116" s="1659"/>
      <c r="G116" s="1659"/>
      <c r="H116" s="1659"/>
      <c r="I116" s="1659"/>
      <c r="J116" s="1659"/>
      <c r="K116" s="1659"/>
    </row>
    <row r="117" spans="1:11" ht="15.6" customHeight="1">
      <c r="A117" s="1654">
        <f t="shared" si="3"/>
        <v>84</v>
      </c>
      <c r="B117" s="1671" t="s">
        <v>1232</v>
      </c>
      <c r="C117" s="1658"/>
      <c r="D117" s="1659"/>
      <c r="E117" s="1659"/>
      <c r="F117" s="1659"/>
      <c r="G117" s="1659"/>
      <c r="H117" s="1659"/>
      <c r="I117" s="1659"/>
      <c r="J117" s="1659"/>
      <c r="K117" s="1659"/>
    </row>
    <row r="118" spans="1:11" s="769" customFormat="1" ht="15.6" customHeight="1">
      <c r="A118" s="1654">
        <v>176</v>
      </c>
      <c r="B118" s="1671" t="s">
        <v>1233</v>
      </c>
      <c r="C118" s="1658"/>
      <c r="D118" s="1659"/>
      <c r="E118" s="1659"/>
      <c r="F118" s="1659"/>
      <c r="G118" s="1659"/>
      <c r="H118" s="1659"/>
      <c r="I118" s="1659"/>
      <c r="J118" s="1659"/>
      <c r="K118" s="1659"/>
    </row>
    <row r="119" spans="1:11" ht="15.6" customHeight="1">
      <c r="A119" s="1654">
        <f>A117+1</f>
        <v>85</v>
      </c>
      <c r="B119" s="1671" t="s">
        <v>1234</v>
      </c>
      <c r="C119" s="1658"/>
      <c r="D119" s="1659"/>
      <c r="E119" s="1659"/>
      <c r="F119" s="1659"/>
      <c r="G119" s="1659"/>
      <c r="H119" s="1659"/>
      <c r="I119" s="1659"/>
      <c r="J119" s="1659"/>
      <c r="K119" s="1659"/>
    </row>
    <row r="120" spans="1:11" ht="15.6" customHeight="1">
      <c r="A120" s="1654">
        <f t="shared" si="3"/>
        <v>86</v>
      </c>
      <c r="B120" s="1671" t="s">
        <v>1235</v>
      </c>
      <c r="C120" s="1658"/>
      <c r="D120" s="1659"/>
      <c r="E120" s="1659"/>
      <c r="F120" s="1659"/>
      <c r="G120" s="1659"/>
      <c r="H120" s="1659"/>
      <c r="I120" s="1659"/>
      <c r="J120" s="1659"/>
      <c r="K120" s="1659"/>
    </row>
    <row r="121" spans="1:11" ht="24.75" customHeight="1">
      <c r="A121" s="1654">
        <f t="shared" si="3"/>
        <v>87</v>
      </c>
      <c r="B121" s="1671" t="s">
        <v>1236</v>
      </c>
      <c r="C121" s="1658"/>
      <c r="D121" s="1659"/>
      <c r="E121" s="1659"/>
      <c r="F121" s="1659"/>
      <c r="G121" s="1659"/>
      <c r="H121" s="1659"/>
      <c r="I121" s="1659"/>
      <c r="J121" s="1659"/>
      <c r="K121" s="1659"/>
    </row>
    <row r="122" spans="1:11" ht="15.6" customHeight="1">
      <c r="A122" s="1654"/>
      <c r="B122" s="1669" t="s">
        <v>1237</v>
      </c>
      <c r="C122" s="1658"/>
      <c r="D122" s="1659"/>
      <c r="E122" s="1659"/>
      <c r="F122" s="1659"/>
      <c r="G122" s="1659"/>
      <c r="H122" s="1659"/>
      <c r="I122" s="1659"/>
      <c r="J122" s="1659"/>
      <c r="K122" s="1659"/>
    </row>
    <row r="123" spans="1:11" ht="15.6" customHeight="1">
      <c r="A123" s="1654">
        <f>A121+1</f>
        <v>88</v>
      </c>
      <c r="B123" s="1671" t="s">
        <v>1238</v>
      </c>
      <c r="C123" s="1658"/>
      <c r="D123" s="1659"/>
      <c r="E123" s="1659"/>
      <c r="F123" s="1659"/>
      <c r="G123" s="1659"/>
      <c r="H123" s="1659"/>
      <c r="I123" s="1659"/>
      <c r="J123" s="1659"/>
      <c r="K123" s="1659"/>
    </row>
    <row r="124" spans="1:11" ht="15.6" customHeight="1">
      <c r="A124" s="1654">
        <f t="shared" si="3"/>
        <v>89</v>
      </c>
      <c r="B124" s="1663" t="s">
        <v>1239</v>
      </c>
      <c r="C124" s="1658"/>
      <c r="D124" s="1659"/>
      <c r="E124" s="1659"/>
      <c r="F124" s="1659"/>
      <c r="G124" s="1659"/>
      <c r="H124" s="1659"/>
      <c r="I124" s="1659"/>
      <c r="J124" s="1659"/>
      <c r="K124" s="1659"/>
    </row>
    <row r="125" spans="1:11" ht="15.6" customHeight="1">
      <c r="A125" s="1654">
        <f t="shared" si="3"/>
        <v>90</v>
      </c>
      <c r="B125" s="1660" t="s">
        <v>1240</v>
      </c>
      <c r="C125" s="1658"/>
      <c r="D125" s="1659"/>
      <c r="E125" s="1659"/>
      <c r="F125" s="1659"/>
      <c r="G125" s="1659"/>
      <c r="H125" s="1659"/>
      <c r="I125" s="1659"/>
      <c r="J125" s="1659"/>
      <c r="K125" s="1659"/>
    </row>
    <row r="126" spans="1:11" ht="15.6" customHeight="1">
      <c r="A126" s="1654">
        <f t="shared" si="3"/>
        <v>91</v>
      </c>
      <c r="B126" s="1661" t="s">
        <v>1241</v>
      </c>
      <c r="C126" s="1658"/>
      <c r="D126" s="1659"/>
      <c r="E126" s="1659"/>
      <c r="F126" s="1659"/>
      <c r="G126" s="1659"/>
      <c r="H126" s="1659"/>
      <c r="I126" s="1659"/>
      <c r="J126" s="1659"/>
      <c r="K126" s="1659"/>
    </row>
    <row r="127" spans="1:11" ht="15.6" customHeight="1">
      <c r="A127" s="1654">
        <f t="shared" si="3"/>
        <v>92</v>
      </c>
      <c r="B127" s="1664" t="s">
        <v>1242</v>
      </c>
      <c r="C127" s="1658"/>
      <c r="D127" s="1659"/>
      <c r="E127" s="1659"/>
      <c r="F127" s="1659"/>
      <c r="G127" s="1659"/>
      <c r="H127" s="1659"/>
      <c r="I127" s="1659"/>
      <c r="J127" s="1659"/>
      <c r="K127" s="1659"/>
    </row>
    <row r="128" spans="1:11" ht="15.6" customHeight="1">
      <c r="A128" s="1654">
        <f t="shared" si="3"/>
        <v>93</v>
      </c>
      <c r="B128" s="1660" t="s">
        <v>1243</v>
      </c>
      <c r="C128" s="1658"/>
      <c r="D128" s="1659"/>
      <c r="E128" s="1659"/>
      <c r="F128" s="1659"/>
      <c r="G128" s="1659"/>
      <c r="H128" s="1659"/>
      <c r="I128" s="1659"/>
      <c r="J128" s="1659"/>
      <c r="K128" s="1659"/>
    </row>
    <row r="129" spans="1:11" ht="13.5">
      <c r="A129" s="1654">
        <f t="shared" si="3"/>
        <v>94</v>
      </c>
      <c r="B129" s="1660" t="s">
        <v>1244</v>
      </c>
      <c r="C129" s="1658"/>
      <c r="D129" s="1659"/>
      <c r="E129" s="1659"/>
      <c r="F129" s="1659"/>
      <c r="G129" s="1659"/>
      <c r="H129" s="1659"/>
      <c r="I129" s="1659"/>
      <c r="J129" s="1659"/>
      <c r="K129" s="1659"/>
    </row>
    <row r="130" spans="1:11" ht="15.6" customHeight="1">
      <c r="A130" s="1654">
        <f t="shared" si="3"/>
        <v>95</v>
      </c>
      <c r="B130" s="1660" t="s">
        <v>1245</v>
      </c>
      <c r="C130" s="1658"/>
      <c r="D130" s="1659"/>
      <c r="E130" s="1659"/>
      <c r="F130" s="1659"/>
      <c r="G130" s="1659"/>
      <c r="H130" s="1659"/>
      <c r="I130" s="1659"/>
      <c r="J130" s="1659"/>
      <c r="K130" s="1659"/>
    </row>
    <row r="131" spans="1:11" ht="15.6" customHeight="1">
      <c r="A131" s="1654">
        <f t="shared" si="3"/>
        <v>96</v>
      </c>
      <c r="B131" s="1660" t="s">
        <v>1246</v>
      </c>
      <c r="C131" s="1658"/>
      <c r="D131" s="1659"/>
      <c r="E131" s="1659"/>
      <c r="F131" s="1659"/>
      <c r="G131" s="1659"/>
      <c r="H131" s="1659"/>
      <c r="I131" s="1659"/>
      <c r="J131" s="1659"/>
      <c r="K131" s="1659"/>
    </row>
    <row r="132" spans="1:11" ht="13.5">
      <c r="A132" s="1654">
        <f t="shared" si="3"/>
        <v>97</v>
      </c>
      <c r="B132" s="1660" t="s">
        <v>1247</v>
      </c>
      <c r="C132" s="1658"/>
      <c r="D132" s="1659"/>
      <c r="E132" s="1659"/>
      <c r="F132" s="1659"/>
      <c r="G132" s="1659"/>
      <c r="H132" s="1659"/>
      <c r="I132" s="1659"/>
      <c r="J132" s="1659"/>
      <c r="K132" s="1659"/>
    </row>
    <row r="133" spans="1:11" ht="16.5" customHeight="1">
      <c r="A133" s="1654">
        <f t="shared" si="3"/>
        <v>98</v>
      </c>
      <c r="B133" s="1660" t="s">
        <v>1248</v>
      </c>
      <c r="C133" s="1658"/>
      <c r="D133" s="1659"/>
      <c r="E133" s="1659"/>
      <c r="F133" s="1659"/>
      <c r="G133" s="1659"/>
      <c r="H133" s="1659"/>
      <c r="I133" s="1659"/>
      <c r="J133" s="1659"/>
      <c r="K133" s="1659"/>
    </row>
    <row r="134" spans="1:11" ht="16.5" customHeight="1">
      <c r="A134" s="1654">
        <f t="shared" si="3"/>
        <v>99</v>
      </c>
      <c r="B134" s="1655" t="s">
        <v>1249</v>
      </c>
      <c r="C134" s="1658"/>
      <c r="D134" s="1659"/>
      <c r="E134" s="1659"/>
      <c r="F134" s="1659"/>
      <c r="G134" s="1659"/>
      <c r="H134" s="1659"/>
      <c r="I134" s="1659"/>
      <c r="J134" s="1659"/>
      <c r="K134" s="1659"/>
    </row>
    <row r="135" spans="1:11" ht="16.5" customHeight="1">
      <c r="A135" s="1654">
        <f t="shared" si="2"/>
        <v>100</v>
      </c>
      <c r="B135" s="1655" t="s">
        <v>1250</v>
      </c>
      <c r="C135" s="1658"/>
      <c r="D135" s="1659"/>
      <c r="E135" s="1659"/>
      <c r="F135" s="1659"/>
      <c r="G135" s="1659"/>
      <c r="H135" s="1659"/>
      <c r="I135" s="1659"/>
      <c r="J135" s="1659"/>
      <c r="K135" s="1659"/>
    </row>
    <row r="136" spans="1:11" s="769" customFormat="1" ht="16.5" customHeight="1">
      <c r="A136" s="1654">
        <v>177</v>
      </c>
      <c r="B136" s="1655" t="s">
        <v>1251</v>
      </c>
      <c r="C136" s="1658"/>
      <c r="D136" s="1659"/>
      <c r="E136" s="1659"/>
      <c r="F136" s="1659"/>
      <c r="G136" s="1659"/>
      <c r="H136" s="1659"/>
      <c r="I136" s="1659"/>
      <c r="J136" s="1659"/>
      <c r="K136" s="1659"/>
    </row>
    <row r="137" spans="1:11" ht="16.5" customHeight="1">
      <c r="A137" s="1654">
        <f>A135+1</f>
        <v>101</v>
      </c>
      <c r="B137" s="1674" t="s">
        <v>1252</v>
      </c>
      <c r="C137" s="1658"/>
      <c r="D137" s="1659"/>
      <c r="E137" s="1659"/>
      <c r="F137" s="1659"/>
      <c r="G137" s="1659"/>
      <c r="H137" s="1659"/>
      <c r="I137" s="1659"/>
      <c r="J137" s="1659"/>
      <c r="K137" s="1659"/>
    </row>
    <row r="138" spans="1:11" ht="16.5" customHeight="1">
      <c r="A138" s="1654">
        <f>A137+1</f>
        <v>102</v>
      </c>
      <c r="B138" s="1660" t="s">
        <v>1253</v>
      </c>
      <c r="C138" s="1658"/>
      <c r="D138" s="1659"/>
      <c r="E138" s="1659"/>
      <c r="F138" s="1659"/>
      <c r="G138" s="1659"/>
      <c r="H138" s="1659"/>
      <c r="I138" s="1659"/>
      <c r="J138" s="1659"/>
      <c r="K138" s="1659"/>
    </row>
    <row r="139" spans="1:11" ht="16.5" customHeight="1">
      <c r="A139" s="1654">
        <f t="shared" si="2"/>
        <v>103</v>
      </c>
      <c r="B139" s="1666" t="s">
        <v>1254</v>
      </c>
      <c r="C139" s="1658"/>
      <c r="D139" s="1659"/>
      <c r="E139" s="1659"/>
      <c r="F139" s="1659"/>
      <c r="G139" s="1659"/>
      <c r="H139" s="1659"/>
      <c r="I139" s="1659"/>
      <c r="J139" s="1659"/>
      <c r="K139" s="1659"/>
    </row>
    <row r="140" spans="1:11" ht="16.5" customHeight="1">
      <c r="A140" s="1654">
        <f t="shared" si="2"/>
        <v>104</v>
      </c>
      <c r="B140" s="1666" t="s">
        <v>1255</v>
      </c>
      <c r="C140" s="1658"/>
      <c r="D140" s="1659"/>
      <c r="E140" s="1659"/>
      <c r="F140" s="1659"/>
      <c r="G140" s="1659"/>
      <c r="H140" s="1659"/>
      <c r="I140" s="1659"/>
      <c r="J140" s="1659"/>
      <c r="K140" s="1659"/>
    </row>
    <row r="141" spans="1:11" ht="16.5" customHeight="1">
      <c r="A141" s="1654">
        <f t="shared" si="2"/>
        <v>105</v>
      </c>
      <c r="B141" s="1666" t="s">
        <v>1256</v>
      </c>
      <c r="C141" s="1658"/>
      <c r="D141" s="1659"/>
      <c r="E141" s="1659"/>
      <c r="F141" s="1659"/>
      <c r="G141" s="1659"/>
      <c r="H141" s="1659"/>
      <c r="I141" s="1659"/>
      <c r="J141" s="1659"/>
      <c r="K141" s="1659"/>
    </row>
    <row r="142" spans="1:11" ht="16.5" customHeight="1">
      <c r="A142" s="1654">
        <f t="shared" si="2"/>
        <v>106</v>
      </c>
      <c r="B142" s="1660" t="s">
        <v>1257</v>
      </c>
      <c r="C142" s="1658"/>
      <c r="D142" s="1659"/>
      <c r="E142" s="1659"/>
      <c r="F142" s="1659"/>
      <c r="G142" s="1659"/>
      <c r="H142" s="1659"/>
      <c r="I142" s="1659"/>
      <c r="J142" s="1659"/>
      <c r="K142" s="1659"/>
    </row>
    <row r="143" spans="1:11" ht="16.5" customHeight="1">
      <c r="A143" s="1654">
        <f t="shared" si="2"/>
        <v>107</v>
      </c>
      <c r="B143" s="1660" t="s">
        <v>1258</v>
      </c>
      <c r="C143" s="1658"/>
      <c r="D143" s="1659"/>
      <c r="E143" s="1659"/>
      <c r="F143" s="1659"/>
      <c r="G143" s="1659"/>
      <c r="H143" s="1659"/>
      <c r="I143" s="1659"/>
      <c r="J143" s="1659"/>
      <c r="K143" s="1659"/>
    </row>
    <row r="144" spans="1:11" ht="16.5" customHeight="1">
      <c r="A144" s="1654">
        <f t="shared" si="2"/>
        <v>108</v>
      </c>
      <c r="B144" s="1660" t="s">
        <v>1259</v>
      </c>
      <c r="C144" s="1658"/>
      <c r="D144" s="1659"/>
      <c r="E144" s="1659"/>
      <c r="F144" s="1659"/>
      <c r="G144" s="1659"/>
      <c r="H144" s="1659"/>
      <c r="I144" s="1659"/>
      <c r="J144" s="1659"/>
      <c r="K144" s="1659"/>
    </row>
    <row r="145" spans="1:11" ht="16.5" customHeight="1">
      <c r="A145" s="1654"/>
      <c r="B145" s="1675" t="s">
        <v>1260</v>
      </c>
      <c r="C145" s="1658"/>
      <c r="D145" s="1659"/>
      <c r="E145" s="1659"/>
      <c r="F145" s="1659"/>
      <c r="G145" s="1659"/>
      <c r="H145" s="1659"/>
      <c r="I145" s="1659"/>
      <c r="J145" s="1659"/>
      <c r="K145" s="1659"/>
    </row>
    <row r="146" spans="1:11" ht="16.5" customHeight="1">
      <c r="A146" s="1654">
        <f>A144+1</f>
        <v>109</v>
      </c>
      <c r="B146" s="1655" t="s">
        <v>1261</v>
      </c>
      <c r="C146" s="1658"/>
      <c r="D146" s="1659"/>
      <c r="E146" s="1659"/>
      <c r="F146" s="1659"/>
      <c r="G146" s="1659"/>
      <c r="H146" s="1659"/>
      <c r="I146" s="1659"/>
      <c r="J146" s="1659"/>
      <c r="K146" s="1659"/>
    </row>
    <row r="147" spans="1:11" ht="16.5" customHeight="1">
      <c r="A147" s="1654">
        <f t="shared" si="2"/>
        <v>110</v>
      </c>
      <c r="B147" s="1660" t="s">
        <v>1262</v>
      </c>
      <c r="C147" s="1658"/>
      <c r="D147" s="1659"/>
      <c r="E147" s="1659"/>
      <c r="F147" s="1659"/>
      <c r="G147" s="1659"/>
      <c r="H147" s="1659"/>
      <c r="I147" s="1659"/>
      <c r="J147" s="1659"/>
      <c r="K147" s="1659"/>
    </row>
    <row r="148" spans="1:11" ht="16.5" customHeight="1">
      <c r="A148" s="1654">
        <f t="shared" si="2"/>
        <v>111</v>
      </c>
      <c r="B148" s="1660" t="s">
        <v>1263</v>
      </c>
      <c r="C148" s="1658"/>
      <c r="D148" s="1659"/>
      <c r="E148" s="1659"/>
      <c r="F148" s="1659"/>
      <c r="G148" s="1659"/>
      <c r="H148" s="1659"/>
      <c r="I148" s="1659"/>
      <c r="J148" s="1659"/>
      <c r="K148" s="1659"/>
    </row>
    <row r="149" spans="1:11" ht="16.5" customHeight="1">
      <c r="A149" s="1654">
        <f t="shared" si="2"/>
        <v>112</v>
      </c>
      <c r="B149" s="1660" t="s">
        <v>1264</v>
      </c>
      <c r="C149" s="1658"/>
      <c r="D149" s="1659"/>
      <c r="E149" s="1659"/>
      <c r="F149" s="1659"/>
      <c r="G149" s="1659"/>
      <c r="H149" s="1659"/>
      <c r="I149" s="1659"/>
      <c r="J149" s="1659"/>
      <c r="K149" s="1659"/>
    </row>
    <row r="150" spans="1:11" ht="16.5" customHeight="1">
      <c r="A150" s="1654">
        <f t="shared" si="2"/>
        <v>113</v>
      </c>
      <c r="B150" s="1661" t="s">
        <v>1265</v>
      </c>
      <c r="C150" s="1658"/>
      <c r="D150" s="1659"/>
      <c r="E150" s="1659"/>
      <c r="F150" s="1659"/>
      <c r="G150" s="1659"/>
      <c r="H150" s="1659"/>
      <c r="I150" s="1659"/>
      <c r="J150" s="1659"/>
      <c r="K150" s="1659"/>
    </row>
    <row r="151" spans="1:11" ht="16.5" customHeight="1">
      <c r="A151" s="1654">
        <f t="shared" si="2"/>
        <v>114</v>
      </c>
      <c r="B151" s="1664" t="s">
        <v>1266</v>
      </c>
      <c r="C151" s="1658"/>
      <c r="D151" s="1659"/>
      <c r="E151" s="1659"/>
      <c r="F151" s="1659"/>
      <c r="G151" s="1659"/>
      <c r="H151" s="1659"/>
      <c r="I151" s="1659"/>
      <c r="J151" s="1659"/>
      <c r="K151" s="1659"/>
    </row>
    <row r="152" spans="1:11" ht="16.5" customHeight="1">
      <c r="A152" s="1654">
        <f t="shared" si="2"/>
        <v>115</v>
      </c>
      <c r="B152" s="1655" t="s">
        <v>1267</v>
      </c>
      <c r="C152" s="1658"/>
      <c r="D152" s="1659"/>
      <c r="E152" s="1659"/>
      <c r="F152" s="1659"/>
      <c r="G152" s="1659"/>
      <c r="H152" s="1659"/>
      <c r="I152" s="1659"/>
      <c r="J152" s="1659"/>
      <c r="K152" s="1659"/>
    </row>
    <row r="153" spans="1:11" ht="16.5" customHeight="1">
      <c r="A153" s="1654">
        <f t="shared" si="2"/>
        <v>116</v>
      </c>
      <c r="B153" s="1655" t="s">
        <v>1268</v>
      </c>
      <c r="C153" s="1658"/>
      <c r="D153" s="1659"/>
      <c r="E153" s="1659"/>
      <c r="F153" s="1659"/>
      <c r="G153" s="1659"/>
      <c r="H153" s="1659"/>
      <c r="I153" s="1659"/>
      <c r="J153" s="1659"/>
      <c r="K153" s="1659"/>
    </row>
    <row r="154" spans="1:11" ht="16.5" customHeight="1">
      <c r="A154" s="1654">
        <f t="shared" si="2"/>
        <v>117</v>
      </c>
      <c r="B154" s="1660" t="s">
        <v>1269</v>
      </c>
      <c r="C154" s="1658"/>
      <c r="D154" s="1659"/>
      <c r="E154" s="1659"/>
      <c r="F154" s="1659"/>
      <c r="G154" s="1659"/>
      <c r="H154" s="1659"/>
      <c r="I154" s="1659"/>
      <c r="J154" s="1659"/>
      <c r="K154" s="1659"/>
    </row>
    <row r="155" spans="1:11" ht="16.5" customHeight="1">
      <c r="A155" s="1654">
        <f t="shared" si="2"/>
        <v>118</v>
      </c>
      <c r="B155" s="1676" t="s">
        <v>1270</v>
      </c>
      <c r="C155" s="1658"/>
      <c r="D155" s="1659"/>
      <c r="E155" s="1659"/>
      <c r="F155" s="1659"/>
      <c r="G155" s="1659"/>
      <c r="H155" s="1659"/>
      <c r="I155" s="1659"/>
      <c r="J155" s="1659"/>
      <c r="K155" s="1659"/>
    </row>
    <row r="156" spans="1:11" ht="13.5">
      <c r="A156" s="1654">
        <f t="shared" si="2"/>
        <v>119</v>
      </c>
      <c r="B156" s="1677" t="s">
        <v>1271</v>
      </c>
      <c r="C156" s="1658"/>
      <c r="D156" s="1659"/>
      <c r="E156" s="1659"/>
      <c r="F156" s="1659"/>
      <c r="G156" s="1659"/>
      <c r="H156" s="1659"/>
      <c r="I156" s="1659"/>
      <c r="J156" s="1659"/>
      <c r="K156" s="1659"/>
    </row>
    <row r="157" spans="1:11" ht="17.100000000000001" customHeight="1">
      <c r="A157" s="1654">
        <f t="shared" si="2"/>
        <v>120</v>
      </c>
      <c r="B157" s="1660" t="s">
        <v>1272</v>
      </c>
      <c r="C157" s="1658"/>
      <c r="D157" s="1659"/>
      <c r="E157" s="1659"/>
      <c r="F157" s="1659"/>
      <c r="G157" s="1659"/>
      <c r="H157" s="1659"/>
      <c r="I157" s="1659"/>
      <c r="J157" s="1659"/>
      <c r="K157" s="1659"/>
    </row>
    <row r="158" spans="1:11" ht="17.100000000000001" customHeight="1">
      <c r="A158" s="1654">
        <f t="shared" si="2"/>
        <v>121</v>
      </c>
      <c r="B158" s="1661" t="s">
        <v>1273</v>
      </c>
      <c r="C158" s="1658"/>
      <c r="D158" s="1659"/>
      <c r="E158" s="1659"/>
      <c r="F158" s="1659"/>
      <c r="G158" s="1659"/>
      <c r="H158" s="1659"/>
      <c r="I158" s="1659"/>
      <c r="J158" s="1659"/>
      <c r="K158" s="1659"/>
    </row>
    <row r="159" spans="1:11" ht="21.75" customHeight="1">
      <c r="A159" s="1654">
        <f t="shared" si="2"/>
        <v>122</v>
      </c>
      <c r="B159" s="1661" t="s">
        <v>1274</v>
      </c>
      <c r="C159" s="1658"/>
      <c r="D159" s="1659"/>
      <c r="E159" s="1659"/>
      <c r="F159" s="1659"/>
      <c r="G159" s="1659"/>
      <c r="H159" s="1659"/>
      <c r="I159" s="1659"/>
      <c r="J159" s="1659"/>
      <c r="K159" s="1659"/>
    </row>
    <row r="160" spans="1:11" ht="17.100000000000001" customHeight="1">
      <c r="A160" s="1654">
        <f t="shared" si="2"/>
        <v>123</v>
      </c>
      <c r="B160" s="1668" t="s">
        <v>1275</v>
      </c>
      <c r="C160" s="1658"/>
      <c r="D160" s="1659"/>
      <c r="E160" s="1659"/>
      <c r="F160" s="1659"/>
      <c r="G160" s="1659"/>
      <c r="H160" s="1659"/>
      <c r="I160" s="1659"/>
      <c r="J160" s="1659"/>
      <c r="K160" s="1659"/>
    </row>
    <row r="161" spans="1:11" ht="13.5">
      <c r="A161" s="1654">
        <f t="shared" si="2"/>
        <v>124</v>
      </c>
      <c r="B161" s="1678" t="s">
        <v>1276</v>
      </c>
      <c r="C161" s="1658"/>
      <c r="D161" s="1659"/>
      <c r="E161" s="1659"/>
      <c r="F161" s="1659"/>
      <c r="G161" s="1659"/>
      <c r="H161" s="1659"/>
      <c r="I161" s="1659"/>
      <c r="J161" s="1659"/>
      <c r="K161" s="1659"/>
    </row>
    <row r="162" spans="1:11" ht="17.100000000000001" customHeight="1">
      <c r="A162" s="1654">
        <f t="shared" si="2"/>
        <v>125</v>
      </c>
      <c r="B162" s="1678" t="s">
        <v>1277</v>
      </c>
      <c r="C162" s="1658"/>
      <c r="D162" s="1659"/>
      <c r="E162" s="1659"/>
      <c r="F162" s="1659"/>
      <c r="G162" s="1659"/>
      <c r="H162" s="1659"/>
      <c r="I162" s="1659"/>
      <c r="J162" s="1659"/>
      <c r="K162" s="1659"/>
    </row>
    <row r="163" spans="1:11" ht="17.100000000000001" customHeight="1">
      <c r="A163" s="1654">
        <f t="shared" si="2"/>
        <v>126</v>
      </c>
      <c r="B163" s="1666" t="s">
        <v>1278</v>
      </c>
      <c r="C163" s="1658"/>
      <c r="D163" s="1659"/>
      <c r="E163" s="1659"/>
      <c r="F163" s="1659"/>
      <c r="G163" s="1659"/>
      <c r="H163" s="1659"/>
      <c r="I163" s="1659"/>
      <c r="J163" s="1659"/>
      <c r="K163" s="1659"/>
    </row>
    <row r="164" spans="1:11" ht="17.100000000000001" customHeight="1">
      <c r="A164" s="1654">
        <f t="shared" si="2"/>
        <v>127</v>
      </c>
      <c r="B164" s="1655" t="s">
        <v>1279</v>
      </c>
      <c r="C164" s="1658"/>
      <c r="D164" s="1659"/>
      <c r="E164" s="1659"/>
      <c r="F164" s="1659"/>
      <c r="G164" s="1659"/>
      <c r="H164" s="1659"/>
      <c r="I164" s="1659"/>
      <c r="J164" s="1659"/>
      <c r="K164" s="1659"/>
    </row>
    <row r="165" spans="1:11" ht="17.100000000000001" customHeight="1">
      <c r="A165" s="1654">
        <f t="shared" si="2"/>
        <v>128</v>
      </c>
      <c r="B165" s="1660" t="s">
        <v>1280</v>
      </c>
      <c r="C165" s="1658"/>
      <c r="D165" s="1659"/>
      <c r="E165" s="1659"/>
      <c r="F165" s="1659"/>
      <c r="G165" s="1659"/>
      <c r="H165" s="1659"/>
      <c r="I165" s="1659"/>
      <c r="J165" s="1659"/>
      <c r="K165" s="1659"/>
    </row>
    <row r="166" spans="1:11" ht="17.100000000000001" customHeight="1">
      <c r="A166" s="1654">
        <f t="shared" si="2"/>
        <v>129</v>
      </c>
      <c r="B166" s="1660" t="s">
        <v>1281</v>
      </c>
      <c r="C166" s="1658"/>
      <c r="D166" s="1659"/>
      <c r="E166" s="1659"/>
      <c r="F166" s="1659"/>
      <c r="G166" s="1659"/>
      <c r="H166" s="1659"/>
      <c r="I166" s="1659"/>
      <c r="J166" s="1659"/>
      <c r="K166" s="1659"/>
    </row>
    <row r="167" spans="1:11" ht="17.100000000000001" customHeight="1">
      <c r="A167" s="1654">
        <f t="shared" si="2"/>
        <v>130</v>
      </c>
      <c r="B167" s="1660" t="s">
        <v>1282</v>
      </c>
      <c r="C167" s="1658"/>
      <c r="D167" s="1659"/>
      <c r="E167" s="1659"/>
      <c r="F167" s="1659"/>
      <c r="G167" s="1659"/>
      <c r="H167" s="1659"/>
      <c r="I167" s="1659"/>
      <c r="J167" s="1659"/>
      <c r="K167" s="1659"/>
    </row>
    <row r="168" spans="1:11" s="769" customFormat="1" ht="17.100000000000001" customHeight="1">
      <c r="A168" s="1654">
        <v>178</v>
      </c>
      <c r="B168" s="1660" t="s">
        <v>1283</v>
      </c>
      <c r="C168" s="1658"/>
      <c r="D168" s="1659"/>
      <c r="E168" s="1659"/>
      <c r="F168" s="1659"/>
      <c r="G168" s="1659"/>
      <c r="H168" s="1659"/>
      <c r="I168" s="1659"/>
      <c r="J168" s="1659"/>
      <c r="K168" s="1659"/>
    </row>
    <row r="169" spans="1:11" ht="17.100000000000001" customHeight="1">
      <c r="A169" s="1654">
        <f>A167+1</f>
        <v>131</v>
      </c>
      <c r="B169" s="1661" t="s">
        <v>1284</v>
      </c>
      <c r="C169" s="1658"/>
      <c r="D169" s="1659"/>
      <c r="E169" s="1659"/>
      <c r="F169" s="1659"/>
      <c r="G169" s="1659"/>
      <c r="H169" s="1659"/>
      <c r="I169" s="1659"/>
      <c r="J169" s="1659"/>
      <c r="K169" s="1659"/>
    </row>
    <row r="170" spans="1:11" ht="17.100000000000001" customHeight="1">
      <c r="A170" s="1654">
        <f t="shared" si="2"/>
        <v>132</v>
      </c>
      <c r="B170" s="1679" t="s">
        <v>1285</v>
      </c>
      <c r="C170" s="1658"/>
      <c r="D170" s="1659"/>
      <c r="E170" s="1659"/>
      <c r="F170" s="1659"/>
      <c r="G170" s="1659"/>
      <c r="H170" s="1659"/>
      <c r="I170" s="1659"/>
      <c r="J170" s="1659"/>
      <c r="K170" s="1659"/>
    </row>
    <row r="171" spans="1:11" ht="17.100000000000001" customHeight="1">
      <c r="A171" s="1654">
        <f t="shared" si="2"/>
        <v>133</v>
      </c>
      <c r="B171" s="1679" t="s">
        <v>1286</v>
      </c>
      <c r="C171" s="1658"/>
      <c r="D171" s="1659"/>
      <c r="E171" s="1659"/>
      <c r="F171" s="1659"/>
      <c r="G171" s="1659"/>
      <c r="H171" s="1659"/>
      <c r="I171" s="1659"/>
      <c r="J171" s="1659"/>
      <c r="K171" s="1659"/>
    </row>
    <row r="172" spans="1:11" ht="17.100000000000001" customHeight="1">
      <c r="A172" s="1654"/>
      <c r="B172" s="1680" t="s">
        <v>1287</v>
      </c>
      <c r="C172" s="1658"/>
      <c r="D172" s="1659"/>
      <c r="E172" s="1659"/>
      <c r="F172" s="1659"/>
      <c r="G172" s="1659"/>
      <c r="H172" s="1659"/>
      <c r="I172" s="1659"/>
      <c r="J172" s="1659"/>
      <c r="K172" s="1659"/>
    </row>
    <row r="173" spans="1:11" ht="17.100000000000001" customHeight="1">
      <c r="A173" s="1654">
        <f>A171+1</f>
        <v>134</v>
      </c>
      <c r="B173" s="1671" t="s">
        <v>1288</v>
      </c>
      <c r="C173" s="1658"/>
      <c r="D173" s="1659"/>
      <c r="E173" s="1659"/>
      <c r="F173" s="1659"/>
      <c r="G173" s="1659"/>
      <c r="H173" s="1659"/>
      <c r="I173" s="1659"/>
      <c r="J173" s="1659"/>
      <c r="K173" s="1659"/>
    </row>
    <row r="174" spans="1:11" ht="13.5">
      <c r="A174" s="1654">
        <f>A173+1</f>
        <v>135</v>
      </c>
      <c r="B174" s="1663" t="s">
        <v>1289</v>
      </c>
      <c r="C174" s="1658"/>
      <c r="D174" s="1659"/>
      <c r="E174" s="1659"/>
      <c r="F174" s="1659"/>
      <c r="G174" s="1659"/>
      <c r="H174" s="1659"/>
      <c r="I174" s="1659"/>
      <c r="J174" s="1659"/>
      <c r="K174" s="1659"/>
    </row>
    <row r="175" spans="1:11" ht="17.100000000000001" customHeight="1">
      <c r="A175" s="1654">
        <f t="shared" ref="A175:A195" si="4">A174+1</f>
        <v>136</v>
      </c>
      <c r="B175" s="1660" t="s">
        <v>1290</v>
      </c>
      <c r="C175" s="1658"/>
      <c r="D175" s="1659"/>
      <c r="E175" s="1659"/>
      <c r="F175" s="1659"/>
      <c r="G175" s="1659"/>
      <c r="H175" s="1659"/>
      <c r="I175" s="1659"/>
      <c r="J175" s="1659"/>
      <c r="K175" s="1659"/>
    </row>
    <row r="176" spans="1:11" ht="17.100000000000001" customHeight="1">
      <c r="A176" s="1654">
        <f t="shared" si="4"/>
        <v>137</v>
      </c>
      <c r="B176" s="1660" t="s">
        <v>1291</v>
      </c>
      <c r="C176" s="1658"/>
      <c r="D176" s="1659"/>
      <c r="E176" s="1659"/>
      <c r="F176" s="1659"/>
      <c r="G176" s="1659"/>
      <c r="H176" s="1659"/>
      <c r="I176" s="1659"/>
      <c r="J176" s="1659"/>
      <c r="K176" s="1659"/>
    </row>
    <row r="177" spans="1:11" ht="17.100000000000001" customHeight="1">
      <c r="A177" s="1654">
        <f t="shared" si="4"/>
        <v>138</v>
      </c>
      <c r="B177" s="1661" t="s">
        <v>1292</v>
      </c>
      <c r="C177" s="1658"/>
      <c r="D177" s="1659"/>
      <c r="E177" s="1659"/>
      <c r="F177" s="1659"/>
      <c r="G177" s="1659"/>
      <c r="H177" s="1659"/>
      <c r="I177" s="1659"/>
      <c r="J177" s="1659"/>
      <c r="K177" s="1659"/>
    </row>
    <row r="178" spans="1:11" ht="16.5" customHeight="1">
      <c r="A178" s="1654"/>
      <c r="B178" s="1669" t="s">
        <v>1293</v>
      </c>
      <c r="C178" s="1658"/>
      <c r="D178" s="1659"/>
      <c r="E178" s="1659"/>
      <c r="F178" s="1659"/>
      <c r="G178" s="1659"/>
      <c r="H178" s="1659"/>
      <c r="I178" s="1659"/>
      <c r="J178" s="1659"/>
      <c r="K178" s="1659"/>
    </row>
    <row r="179" spans="1:11" ht="13.5" customHeight="1">
      <c r="A179" s="1654">
        <f>A177+1</f>
        <v>139</v>
      </c>
      <c r="B179" s="1671" t="s">
        <v>1294</v>
      </c>
      <c r="C179" s="1658"/>
      <c r="D179" s="1659"/>
      <c r="E179" s="1659"/>
      <c r="F179" s="1659"/>
      <c r="G179" s="1659"/>
      <c r="H179" s="1659"/>
      <c r="I179" s="1659"/>
      <c r="J179" s="1659"/>
      <c r="K179" s="1659"/>
    </row>
    <row r="180" spans="1:11" ht="13.5" customHeight="1">
      <c r="A180" s="1654">
        <f t="shared" si="4"/>
        <v>140</v>
      </c>
      <c r="B180" s="1655" t="s">
        <v>1295</v>
      </c>
      <c r="C180" s="1658"/>
      <c r="D180" s="1659"/>
      <c r="E180" s="1659"/>
      <c r="F180" s="1659"/>
      <c r="G180" s="1659"/>
      <c r="H180" s="1659"/>
      <c r="I180" s="1659"/>
      <c r="J180" s="1659"/>
      <c r="K180" s="1659"/>
    </row>
    <row r="181" spans="1:11" ht="13.5" customHeight="1">
      <c r="A181" s="1654">
        <f t="shared" si="4"/>
        <v>141</v>
      </c>
      <c r="B181" s="1655" t="s">
        <v>1296</v>
      </c>
      <c r="C181" s="1658"/>
      <c r="D181" s="1659"/>
      <c r="E181" s="1659"/>
      <c r="F181" s="1659"/>
      <c r="G181" s="1659"/>
      <c r="H181" s="1659"/>
      <c r="I181" s="1659"/>
      <c r="J181" s="1659"/>
      <c r="K181" s="1659"/>
    </row>
    <row r="182" spans="1:11" ht="13.5" customHeight="1">
      <c r="A182" s="1654">
        <f t="shared" si="4"/>
        <v>142</v>
      </c>
      <c r="B182" s="1660" t="s">
        <v>1297</v>
      </c>
      <c r="C182" s="1658"/>
      <c r="D182" s="1659"/>
      <c r="E182" s="1659"/>
      <c r="F182" s="1659"/>
      <c r="G182" s="1659"/>
      <c r="H182" s="1659"/>
      <c r="I182" s="1659"/>
      <c r="J182" s="1659"/>
      <c r="K182" s="1659"/>
    </row>
    <row r="183" spans="1:11" ht="13.5" customHeight="1">
      <c r="A183" s="1654">
        <f t="shared" si="4"/>
        <v>143</v>
      </c>
      <c r="B183" s="1661" t="s">
        <v>1298</v>
      </c>
      <c r="C183" s="1658"/>
      <c r="D183" s="1659"/>
      <c r="E183" s="1659"/>
      <c r="F183" s="1659"/>
      <c r="G183" s="1659"/>
      <c r="H183" s="1659"/>
      <c r="I183" s="1659"/>
      <c r="J183" s="1659"/>
      <c r="K183" s="1659"/>
    </row>
    <row r="184" spans="1:11" ht="17.100000000000001" customHeight="1">
      <c r="A184" s="1654">
        <f t="shared" si="4"/>
        <v>144</v>
      </c>
      <c r="B184" s="1661" t="s">
        <v>1299</v>
      </c>
      <c r="C184" s="1658"/>
      <c r="D184" s="1659"/>
      <c r="E184" s="1659"/>
      <c r="F184" s="1659"/>
      <c r="G184" s="1659"/>
      <c r="H184" s="1659"/>
      <c r="I184" s="1659"/>
      <c r="J184" s="1659"/>
      <c r="K184" s="1659"/>
    </row>
    <row r="185" spans="1:11" ht="13.5">
      <c r="A185" s="1654">
        <f t="shared" si="4"/>
        <v>145</v>
      </c>
      <c r="B185" s="1664" t="s">
        <v>1300</v>
      </c>
      <c r="C185" s="1658"/>
      <c r="D185" s="1659"/>
      <c r="E185" s="1659"/>
      <c r="F185" s="1659"/>
      <c r="G185" s="1659"/>
      <c r="H185" s="1659"/>
      <c r="I185" s="1659"/>
      <c r="J185" s="1659"/>
      <c r="K185" s="1659"/>
    </row>
    <row r="186" spans="1:11" ht="13.5">
      <c r="A186" s="1654">
        <f t="shared" si="4"/>
        <v>146</v>
      </c>
      <c r="B186" s="1655" t="s">
        <v>1301</v>
      </c>
      <c r="C186" s="1658"/>
      <c r="D186" s="1659"/>
      <c r="E186" s="1659"/>
      <c r="F186" s="1659"/>
      <c r="G186" s="1659"/>
      <c r="H186" s="1659"/>
      <c r="I186" s="1659"/>
      <c r="J186" s="1659"/>
      <c r="K186" s="1659"/>
    </row>
    <row r="187" spans="1:11" ht="13.5">
      <c r="A187" s="1654">
        <f t="shared" si="4"/>
        <v>147</v>
      </c>
      <c r="B187" s="1661" t="s">
        <v>1302</v>
      </c>
      <c r="C187" s="1658"/>
      <c r="D187" s="1659"/>
      <c r="E187" s="1659"/>
      <c r="F187" s="1659"/>
      <c r="G187" s="1659"/>
      <c r="H187" s="1659"/>
      <c r="I187" s="1659"/>
      <c r="J187" s="1659"/>
      <c r="K187" s="1659"/>
    </row>
    <row r="188" spans="1:11" ht="13.5">
      <c r="A188" s="1654">
        <f t="shared" si="4"/>
        <v>148</v>
      </c>
      <c r="B188" s="1671" t="s">
        <v>1303</v>
      </c>
      <c r="C188" s="1658"/>
      <c r="D188" s="1659"/>
      <c r="E188" s="1659"/>
      <c r="F188" s="1659"/>
      <c r="G188" s="1659"/>
      <c r="H188" s="1659"/>
      <c r="I188" s="1659"/>
      <c r="J188" s="1659"/>
      <c r="K188" s="1659"/>
    </row>
    <row r="189" spans="1:11" ht="13.5">
      <c r="A189" s="1654">
        <f t="shared" si="4"/>
        <v>149</v>
      </c>
      <c r="B189" s="1681" t="s">
        <v>1304</v>
      </c>
      <c r="C189" s="1658"/>
      <c r="D189" s="1659"/>
      <c r="E189" s="1659"/>
      <c r="F189" s="1659"/>
      <c r="G189" s="1659"/>
      <c r="H189" s="1659"/>
      <c r="I189" s="1659"/>
      <c r="J189" s="1659"/>
      <c r="K189" s="1659"/>
    </row>
    <row r="190" spans="1:11" ht="13.5">
      <c r="A190" s="1654">
        <f t="shared" si="4"/>
        <v>150</v>
      </c>
      <c r="B190" s="1681" t="s">
        <v>1305</v>
      </c>
      <c r="C190" s="1658"/>
      <c r="D190" s="1659"/>
      <c r="E190" s="1659"/>
      <c r="F190" s="1659"/>
      <c r="G190" s="1659"/>
      <c r="H190" s="1659"/>
      <c r="I190" s="1659"/>
      <c r="J190" s="1659"/>
      <c r="K190" s="1659"/>
    </row>
    <row r="191" spans="1:11" ht="13.5">
      <c r="A191" s="1654">
        <f t="shared" si="4"/>
        <v>151</v>
      </c>
      <c r="B191" s="1682" t="s">
        <v>1306</v>
      </c>
      <c r="C191" s="1658"/>
      <c r="D191" s="1659"/>
      <c r="E191" s="1659"/>
      <c r="F191" s="1659"/>
      <c r="G191" s="1659"/>
      <c r="H191" s="1659"/>
      <c r="I191" s="1659"/>
      <c r="J191" s="1659"/>
      <c r="K191" s="1659"/>
    </row>
    <row r="192" spans="1:11" s="769" customFormat="1" ht="13.5">
      <c r="A192" s="1654">
        <v>179</v>
      </c>
      <c r="B192" s="1682" t="s">
        <v>1307</v>
      </c>
      <c r="C192" s="1658"/>
      <c r="D192" s="1659"/>
      <c r="E192" s="1659"/>
      <c r="F192" s="1659"/>
      <c r="G192" s="1659"/>
      <c r="H192" s="1659"/>
      <c r="I192" s="1659"/>
      <c r="J192" s="1659"/>
      <c r="K192" s="1659"/>
    </row>
    <row r="193" spans="1:11" ht="13.5">
      <c r="A193" s="1654">
        <f>A191+1</f>
        <v>152</v>
      </c>
      <c r="B193" s="1683" t="s">
        <v>1308</v>
      </c>
      <c r="C193" s="1658"/>
      <c r="D193" s="1659"/>
      <c r="E193" s="1659"/>
      <c r="F193" s="1659"/>
      <c r="G193" s="1659"/>
      <c r="H193" s="1659"/>
      <c r="I193" s="1659"/>
      <c r="J193" s="1659"/>
      <c r="K193" s="1659"/>
    </row>
    <row r="194" spans="1:11" ht="13.5">
      <c r="A194" s="1654">
        <f t="shared" si="4"/>
        <v>153</v>
      </c>
      <c r="B194" s="1664" t="s">
        <v>1309</v>
      </c>
      <c r="C194" s="1658"/>
      <c r="D194" s="1659"/>
      <c r="E194" s="1659"/>
      <c r="F194" s="1659"/>
      <c r="G194" s="1659"/>
      <c r="H194" s="1659"/>
      <c r="I194" s="1659"/>
      <c r="J194" s="1659"/>
      <c r="K194" s="1659"/>
    </row>
    <row r="195" spans="1:11" ht="13.5">
      <c r="A195" s="1654">
        <f t="shared" si="4"/>
        <v>154</v>
      </c>
      <c r="B195" s="1660" t="s">
        <v>1310</v>
      </c>
      <c r="C195" s="1658"/>
      <c r="D195" s="1659"/>
      <c r="E195" s="1659"/>
      <c r="F195" s="1659"/>
      <c r="G195" s="1659"/>
      <c r="H195" s="1659"/>
      <c r="I195" s="1659"/>
      <c r="J195" s="1659"/>
      <c r="K195" s="1659"/>
    </row>
    <row r="196" spans="1:11" ht="13.5">
      <c r="A196" s="1654"/>
      <c r="B196" s="1684" t="s">
        <v>1311</v>
      </c>
      <c r="C196" s="1658"/>
      <c r="D196" s="1659"/>
      <c r="E196" s="1659"/>
      <c r="F196" s="1659"/>
      <c r="G196" s="1659"/>
      <c r="H196" s="1659"/>
      <c r="I196" s="1659"/>
      <c r="J196" s="1659"/>
      <c r="K196" s="1659"/>
    </row>
    <row r="197" spans="1:11" ht="13.5">
      <c r="A197" s="1654">
        <f>A195+1</f>
        <v>155</v>
      </c>
      <c r="B197" s="1660" t="s">
        <v>1312</v>
      </c>
      <c r="C197" s="1658"/>
      <c r="D197" s="1659"/>
      <c r="E197" s="1659"/>
      <c r="F197" s="1659"/>
      <c r="G197" s="1659"/>
      <c r="H197" s="1659"/>
      <c r="I197" s="1659"/>
      <c r="J197" s="1659"/>
      <c r="K197" s="1659"/>
    </row>
    <row r="198" spans="1:11" ht="13.5">
      <c r="A198" s="1654">
        <f t="shared" ref="A198:A209" si="5">A197+1</f>
        <v>156</v>
      </c>
      <c r="B198" s="1663" t="s">
        <v>1313</v>
      </c>
      <c r="C198" s="1658"/>
      <c r="D198" s="1659"/>
      <c r="E198" s="1659"/>
      <c r="F198" s="1659"/>
      <c r="G198" s="1659"/>
      <c r="H198" s="1659"/>
      <c r="I198" s="1659"/>
      <c r="J198" s="1659"/>
      <c r="K198" s="1659"/>
    </row>
    <row r="199" spans="1:11" ht="13.5">
      <c r="A199" s="1654">
        <f t="shared" si="5"/>
        <v>157</v>
      </c>
      <c r="B199" s="1685" t="s">
        <v>1314</v>
      </c>
      <c r="C199" s="1658"/>
      <c r="D199" s="1659"/>
      <c r="E199" s="1659"/>
      <c r="F199" s="1659"/>
      <c r="G199" s="1659"/>
      <c r="H199" s="1659"/>
      <c r="I199" s="1659"/>
      <c r="J199" s="1659"/>
      <c r="K199" s="1659"/>
    </row>
    <row r="200" spans="1:11" s="769" customFormat="1" ht="13.5">
      <c r="A200" s="1654">
        <v>180</v>
      </c>
      <c r="B200" s="1685" t="s">
        <v>1315</v>
      </c>
      <c r="C200" s="1658"/>
      <c r="D200" s="1659"/>
      <c r="E200" s="1659"/>
      <c r="F200" s="1659"/>
      <c r="G200" s="1659"/>
      <c r="H200" s="1659"/>
      <c r="I200" s="1659"/>
      <c r="J200" s="1659"/>
      <c r="K200" s="1659"/>
    </row>
    <row r="201" spans="1:11" ht="13.5">
      <c r="A201" s="1654">
        <f>A199+1</f>
        <v>158</v>
      </c>
      <c r="B201" s="1660" t="s">
        <v>1316</v>
      </c>
      <c r="C201" s="1658"/>
      <c r="D201" s="1659"/>
      <c r="E201" s="1659"/>
      <c r="F201" s="1659"/>
      <c r="G201" s="1659"/>
      <c r="H201" s="1659"/>
      <c r="I201" s="1659"/>
      <c r="J201" s="1659"/>
      <c r="K201" s="1659"/>
    </row>
    <row r="202" spans="1:11" ht="27">
      <c r="A202" s="1654">
        <f t="shared" si="5"/>
        <v>159</v>
      </c>
      <c r="B202" s="1660" t="s">
        <v>1317</v>
      </c>
      <c r="C202" s="1658"/>
      <c r="D202" s="1659"/>
      <c r="E202" s="1659"/>
      <c r="F202" s="1659"/>
      <c r="G202" s="1659"/>
      <c r="H202" s="1659"/>
      <c r="I202" s="1659"/>
      <c r="J202" s="1659"/>
      <c r="K202" s="1659"/>
    </row>
    <row r="203" spans="1:11" ht="27">
      <c r="A203" s="1654">
        <f t="shared" si="5"/>
        <v>160</v>
      </c>
      <c r="B203" s="1660" t="s">
        <v>1318</v>
      </c>
      <c r="C203" s="1658"/>
      <c r="D203" s="1659"/>
      <c r="E203" s="1659"/>
      <c r="F203" s="1659"/>
      <c r="G203" s="1659"/>
      <c r="H203" s="1659"/>
      <c r="I203" s="1659"/>
      <c r="J203" s="1659"/>
      <c r="K203" s="1659"/>
    </row>
    <row r="204" spans="1:11" ht="13.5">
      <c r="A204" s="1654">
        <v>181</v>
      </c>
      <c r="B204" s="1660" t="s">
        <v>1319</v>
      </c>
      <c r="C204" s="1658"/>
      <c r="D204" s="1659"/>
      <c r="E204" s="1659"/>
      <c r="F204" s="1659"/>
      <c r="G204" s="1659"/>
      <c r="H204" s="1659"/>
      <c r="I204" s="1659"/>
      <c r="J204" s="1659"/>
      <c r="K204" s="1659"/>
    </row>
    <row r="205" spans="1:11" ht="13.5">
      <c r="A205" s="1654">
        <f>A203+1</f>
        <v>161</v>
      </c>
      <c r="B205" s="1660" t="s">
        <v>1320</v>
      </c>
      <c r="C205" s="1658"/>
      <c r="D205" s="1659"/>
      <c r="E205" s="1659"/>
      <c r="F205" s="1659"/>
      <c r="G205" s="1659"/>
      <c r="H205" s="1659"/>
      <c r="I205" s="1659"/>
      <c r="J205" s="1659"/>
      <c r="K205" s="1659"/>
    </row>
    <row r="206" spans="1:11" ht="13.5">
      <c r="A206" s="1654">
        <f t="shared" si="5"/>
        <v>162</v>
      </c>
      <c r="B206" s="1660" t="s">
        <v>1321</v>
      </c>
      <c r="C206" s="1658"/>
      <c r="D206" s="1659"/>
      <c r="E206" s="1659"/>
      <c r="F206" s="1659"/>
      <c r="G206" s="1659"/>
      <c r="H206" s="1659"/>
      <c r="I206" s="1659"/>
      <c r="J206" s="1659"/>
      <c r="K206" s="1659"/>
    </row>
    <row r="207" spans="1:11" ht="13.5">
      <c r="A207" s="1654">
        <f t="shared" si="5"/>
        <v>163</v>
      </c>
      <c r="B207" s="1660" t="s">
        <v>1322</v>
      </c>
      <c r="C207" s="1658"/>
      <c r="D207" s="1659"/>
      <c r="E207" s="1659"/>
      <c r="F207" s="1659"/>
      <c r="G207" s="1659"/>
      <c r="H207" s="1659"/>
      <c r="I207" s="1659"/>
      <c r="J207" s="1659"/>
      <c r="K207" s="1659"/>
    </row>
    <row r="208" spans="1:11" ht="27">
      <c r="A208" s="1654">
        <f t="shared" si="5"/>
        <v>164</v>
      </c>
      <c r="B208" s="1632" t="s">
        <v>1323</v>
      </c>
      <c r="C208" s="1658"/>
      <c r="D208" s="1659"/>
      <c r="E208" s="1659"/>
      <c r="F208" s="1659"/>
      <c r="G208" s="1659"/>
      <c r="H208" s="1659"/>
      <c r="I208" s="1659"/>
      <c r="J208" s="1659"/>
      <c r="K208" s="1659"/>
    </row>
    <row r="209" spans="1:11" ht="13.5">
      <c r="A209" s="1654">
        <f t="shared" si="5"/>
        <v>165</v>
      </c>
      <c r="B209" s="869" t="s">
        <v>1324</v>
      </c>
      <c r="C209" s="1658"/>
      <c r="D209" s="1659"/>
      <c r="E209" s="1659"/>
      <c r="F209" s="1659"/>
      <c r="G209" s="1659"/>
      <c r="H209" s="1659"/>
      <c r="I209" s="1659"/>
      <c r="J209" s="1659"/>
      <c r="K209" s="1659"/>
    </row>
  </sheetData>
  <customSheetViews>
    <customSheetView guid="{9C153D9E-615C-443B-9CD7-551163282F03}" scale="150" showPageBreaks="1" view="pageBreakPreview" topLeftCell="A4">
      <selection activeCell="E159" sqref="E159"/>
      <rowBreaks count="6" manualBreakCount="6">
        <brk id="39" max="10" man="1"/>
        <brk id="61" max="16383" man="1"/>
        <brk id="88" max="16383" man="1"/>
        <brk id="112" max="16383" man="1"/>
        <brk id="136" max="16383" man="1"/>
        <brk id="157" max="16383" man="1"/>
      </rowBreaks>
      <pageMargins left="0" right="0" top="0" bottom="0" header="0" footer="0"/>
      <pageSetup firstPageNumber="42" orientation="landscape" r:id="rId1"/>
      <headerFooter>
        <oddFooter>&amp;C&amp;P</oddFooter>
      </headerFooter>
    </customSheetView>
    <customSheetView guid="{BE9F68F7-D81B-4526-9959-D871EC50BDFF}" scale="150" showPageBreaks="1" view="pageBreakPreview" topLeftCell="A145">
      <selection activeCell="E159" sqref="E159"/>
      <rowBreaks count="6" manualBreakCount="6">
        <brk id="39" max="10" man="1"/>
        <brk id="61" max="16383" man="1"/>
        <brk id="88" max="16383" man="1"/>
        <brk id="112" max="16383" man="1"/>
        <brk id="136" max="16383" man="1"/>
        <brk id="157" max="16383" man="1"/>
      </rowBreaks>
      <pageMargins left="0" right="0" top="0" bottom="0" header="0" footer="0"/>
      <pageSetup firstPageNumber="42" orientation="landscape" r:id="rId2"/>
      <headerFooter>
        <oddFooter>&amp;C&amp;P</oddFooter>
      </headerFooter>
    </customSheetView>
    <customSheetView guid="{EF790C5B-80DA-4544-9EB7-EFE0323B2298}" scale="160" showPageBreaks="1" view="pageBreakPreview" topLeftCell="A86">
      <selection activeCell="C94" sqref="C94"/>
      <rowBreaks count="6" manualBreakCount="6">
        <brk id="40" max="10" man="1"/>
        <brk id="63" max="16383" man="1"/>
        <brk id="90" max="16383" man="1"/>
        <brk id="115" max="16383" man="1"/>
        <brk id="139" max="16383" man="1"/>
        <brk id="160" max="16383" man="1"/>
      </rowBreaks>
      <pageMargins left="0" right="0" top="0" bottom="0" header="0" footer="0"/>
      <pageSetup firstPageNumber="42" orientation="landscape" r:id="rId3"/>
      <headerFooter>
        <oddFooter>&amp;C&amp;P</oddFooter>
      </headerFooter>
    </customSheetView>
    <customSheetView guid="{C9D2DBB1-CD01-4732-8C86-64BE16C94753}" scale="120" showPageBreaks="1" view="pageBreakPreview">
      <rowBreaks count="6" manualBreakCount="6">
        <brk id="39" max="10" man="1"/>
        <brk id="61" max="16383" man="1"/>
        <brk id="88" max="16383" man="1"/>
        <brk id="111" max="16383" man="1"/>
        <brk id="133" max="16383" man="1"/>
        <brk id="154" max="16383" man="1"/>
      </rowBreaks>
      <pageMargins left="0" right="0" top="0" bottom="0" header="0" footer="0"/>
      <pageSetup firstPageNumber="42" orientation="landscape" r:id="rId4"/>
      <headerFooter>
        <oddFooter>&amp;C&amp;P</oddFooter>
      </headerFooter>
    </customSheetView>
    <customSheetView guid="{BFEC163F-7C4E-49B7-9F32-15225772E72F}" scale="120" showPageBreaks="1" view="pageBreakPreview">
      <rowBreaks count="6" manualBreakCount="6">
        <brk id="39" max="10" man="1"/>
        <brk id="61" max="16383" man="1"/>
        <brk id="88" max="16383" man="1"/>
        <brk id="111" max="16383" man="1"/>
        <brk id="133" max="16383" man="1"/>
        <brk id="154" max="16383" man="1"/>
      </rowBreaks>
      <pageMargins left="0" right="0" top="0" bottom="0" header="0" footer="0"/>
      <pageSetup firstPageNumber="42" orientation="landscape" r:id="rId5"/>
      <headerFooter>
        <oddFooter>&amp;C&amp;P</oddFooter>
      </headerFooter>
    </customSheetView>
    <customSheetView guid="{5529DB6B-163A-4048-9107-267B30B97DF3}" scale="120" showPageBreaks="1" view="pageBreakPreview" topLeftCell="A136">
      <rowBreaks count="6" manualBreakCount="6">
        <brk id="39" max="10" man="1"/>
        <brk id="61" max="16383" man="1"/>
        <brk id="88" max="16383" man="1"/>
        <brk id="111" max="16383" man="1"/>
        <brk id="133" max="16383" man="1"/>
        <brk id="154" max="16383" man="1"/>
      </rowBreaks>
      <pageMargins left="0" right="0" top="0" bottom="0" header="0" footer="0"/>
      <pageSetup firstPageNumber="42" orientation="landscape" r:id="rId6"/>
      <headerFooter>
        <oddFooter>&amp;C&amp;P</oddFooter>
      </headerFooter>
    </customSheetView>
    <customSheetView guid="{9B0763AA-FA4B-479A-900C-C113E8BEEFEB}" scale="150" showPageBreaks="1" view="pageBreakPreview">
      <selection activeCell="D6" sqref="D6:E15"/>
      <rowBreaks count="6" manualBreakCount="6">
        <brk id="39" max="10" man="1"/>
        <brk id="61" max="16383" man="1"/>
        <brk id="88" max="16383" man="1"/>
        <brk id="112" max="16383" man="1"/>
        <brk id="136" max="16383" man="1"/>
        <brk id="157" max="16383" man="1"/>
      </rowBreaks>
      <pageMargins left="0" right="0" top="0" bottom="0" header="0" footer="0"/>
      <pageSetup firstPageNumber="42" orientation="landscape" r:id="rId7"/>
      <headerFooter>
        <oddFooter>&amp;C&amp;P</oddFooter>
      </headerFooter>
    </customSheetView>
    <customSheetView guid="{89903799-8228-4A6D-8A81-7F80BC61226D}" scale="150" showPageBreaks="1" view="pageBreakPreview" topLeftCell="A4">
      <selection activeCell="G6" sqref="G6:G15"/>
      <rowBreaks count="6" manualBreakCount="6">
        <brk id="39" max="10" man="1"/>
        <brk id="61" max="16383" man="1"/>
        <brk id="88" max="16383" man="1"/>
        <brk id="112" max="16383" man="1"/>
        <brk id="136" max="16383" man="1"/>
        <brk id="157" max="16383" man="1"/>
      </rowBreaks>
      <pageMargins left="0" right="0" top="0" bottom="0" header="0" footer="0"/>
      <pageSetup firstPageNumber="42" orientation="landscape" r:id="rId8"/>
      <headerFooter>
        <oddFooter>&amp;C&amp;P</oddFooter>
      </headerFooter>
    </customSheetView>
    <customSheetView guid="{2524630E-605A-4616-AD5D-6CF7B1E9752C}" scale="160" showPageBreaks="1" view="pageBreakPreview" topLeftCell="A86">
      <selection activeCell="A141" sqref="A141"/>
      <rowBreaks count="6" manualBreakCount="6">
        <brk id="40" max="10" man="1"/>
        <brk id="63" max="16383" man="1"/>
        <brk id="90" max="16383" man="1"/>
        <brk id="116" max="16383" man="1"/>
        <brk id="140" max="16383" man="1"/>
        <brk id="161" max="16383" man="1"/>
      </rowBreaks>
      <pageMargins left="0" right="0" top="0" bottom="0" header="0" footer="0"/>
      <pageSetup firstPageNumber="42" orientation="landscape" r:id="rId9"/>
      <headerFooter>
        <oddFooter>&amp;C&amp;P</oddFooter>
      </headerFooter>
    </customSheetView>
  </customSheetViews>
  <mergeCells count="14">
    <mergeCell ref="A6:A17"/>
    <mergeCell ref="H4:K4"/>
    <mergeCell ref="K6:K15"/>
    <mergeCell ref="B6:B16"/>
    <mergeCell ref="C6:C12"/>
    <mergeCell ref="C14:C15"/>
    <mergeCell ref="C4:G4"/>
    <mergeCell ref="D5:E5"/>
    <mergeCell ref="F6:F15"/>
    <mergeCell ref="D6:E15"/>
    <mergeCell ref="G6:G15"/>
    <mergeCell ref="I5:J5"/>
    <mergeCell ref="I6:J15"/>
    <mergeCell ref="H6:H15"/>
  </mergeCells>
  <pageMargins left="0.314" right="0.314" top="0.11799999999999999" bottom="0.27500000000000002" header="0.157" footer="0.11799999999999999"/>
  <pageSetup scale="82" firstPageNumber="42" orientation="landscape" r:id="rId10"/>
  <headerFooter>
    <oddFooter>&amp;C&amp;P</oddFooter>
  </headerFooter>
  <rowBreaks count="6" manualBreakCount="6">
    <brk id="41" max="11" man="1"/>
    <brk id="67" max="16383" man="1"/>
    <brk id="102" max="11" man="1"/>
    <brk id="128" max="16383" man="1"/>
    <brk id="153" max="16383" man="1"/>
    <brk id="177" max="11" man="1"/>
  </rowBreaks>
  <drawing r:id="rId1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V59"/>
  <sheetViews>
    <sheetView view="pageBreakPreview" zoomScaleNormal="130" zoomScaleSheetLayoutView="100" workbookViewId="0">
      <selection activeCell="I5" sqref="I5"/>
    </sheetView>
  </sheetViews>
  <sheetFormatPr defaultColWidth="9.140625" defaultRowHeight="13.5"/>
  <cols>
    <col min="1" max="1" width="5.28515625" style="47" bestFit="1" customWidth="1"/>
    <col min="2" max="2" width="3.7109375" style="47" customWidth="1"/>
    <col min="3" max="3" width="4.7109375" style="47" customWidth="1"/>
    <col min="4" max="8" width="9.140625" style="47" customWidth="1"/>
    <col min="9" max="9" width="24.5703125" style="47" customWidth="1"/>
    <col min="10" max="10" width="2.42578125" style="47" customWidth="1"/>
    <col min="11" max="11" width="6.85546875" style="1686" customWidth="1"/>
    <col min="12" max="12" width="3.7109375" style="1686" customWidth="1"/>
    <col min="13" max="13" width="9.140625" style="1686" customWidth="1"/>
    <col min="14" max="18" width="9.140625" style="1686"/>
    <col min="19" max="19" width="23.42578125" style="1686" customWidth="1"/>
    <col min="20" max="20" width="9.140625" style="115" customWidth="1"/>
    <col min="21" max="16384" width="9.140625" style="115"/>
  </cols>
  <sheetData>
    <row r="1" spans="1:22" ht="16.5">
      <c r="A1" s="1993" t="s">
        <v>1325</v>
      </c>
      <c r="B1" s="1952"/>
      <c r="C1" s="1952"/>
      <c r="D1" s="1952"/>
      <c r="E1" s="1952"/>
      <c r="F1" s="1952"/>
      <c r="G1" s="1952"/>
      <c r="H1" s="1952"/>
      <c r="I1" s="1952"/>
      <c r="J1" s="1952"/>
      <c r="K1" s="1953"/>
      <c r="L1" s="1953"/>
      <c r="M1" s="1953"/>
      <c r="N1" s="1953"/>
      <c r="O1" s="1953"/>
      <c r="P1" s="1953"/>
      <c r="Q1" s="1953"/>
      <c r="R1" s="1953"/>
      <c r="S1" s="1953"/>
    </row>
    <row r="2" spans="1:22" ht="16.5">
      <c r="A2" s="1993" t="s">
        <v>1326</v>
      </c>
      <c r="B2" s="1952"/>
      <c r="C2" s="1952"/>
      <c r="D2" s="1952"/>
      <c r="E2" s="1952"/>
      <c r="F2" s="1952"/>
      <c r="G2" s="1952"/>
      <c r="H2" s="1952"/>
      <c r="I2" s="1952"/>
      <c r="J2" s="1952"/>
      <c r="K2" s="1953"/>
      <c r="L2" s="1953"/>
      <c r="M2" s="1953"/>
      <c r="N2" s="1953"/>
      <c r="O2" s="1953"/>
      <c r="P2" s="1953"/>
      <c r="Q2" s="1953"/>
      <c r="R2" s="1953"/>
      <c r="S2" s="1953"/>
    </row>
    <row r="3" spans="1:22" ht="16.5">
      <c r="A3" s="690"/>
      <c r="B3" s="1952"/>
      <c r="C3" s="1952"/>
      <c r="D3" s="1952"/>
      <c r="E3" s="1952"/>
      <c r="F3" s="1952"/>
      <c r="G3" s="1952"/>
      <c r="H3" s="1952"/>
      <c r="I3" s="1952"/>
      <c r="J3" s="1952"/>
      <c r="K3" s="1953"/>
      <c r="L3" s="1953"/>
      <c r="M3" s="1953"/>
      <c r="N3" s="1953"/>
      <c r="O3" s="1953"/>
      <c r="P3" s="1953"/>
      <c r="Q3" s="1953"/>
      <c r="R3" s="1953"/>
      <c r="S3" s="1953"/>
    </row>
    <row r="4" spans="1:22" ht="16.5">
      <c r="B4" s="1954" t="s">
        <v>1327</v>
      </c>
      <c r="C4" s="1955"/>
      <c r="D4" s="1956"/>
      <c r="E4" s="1956"/>
      <c r="F4" s="1956"/>
      <c r="G4" s="1952"/>
      <c r="H4" s="1952"/>
      <c r="I4" s="1952"/>
      <c r="J4" s="1952"/>
      <c r="K4" s="1953"/>
      <c r="L4" s="1953"/>
      <c r="M4" s="1953"/>
      <c r="N4" s="1953"/>
      <c r="O4" s="1953"/>
      <c r="P4" s="1953"/>
      <c r="Q4" s="1953"/>
      <c r="R4" s="1953"/>
      <c r="S4" s="1953"/>
    </row>
    <row r="5" spans="1:22" ht="16.5">
      <c r="B5" s="1952"/>
      <c r="C5" s="1952"/>
      <c r="D5" s="1952"/>
      <c r="E5" s="1952"/>
      <c r="F5" s="1952"/>
      <c r="G5" s="1952"/>
      <c r="H5" s="1952"/>
      <c r="I5" s="1952"/>
      <c r="J5" s="1952"/>
      <c r="K5" s="1953"/>
      <c r="L5" s="1953"/>
      <c r="M5" s="1953"/>
      <c r="N5" s="1953"/>
      <c r="O5" s="1953"/>
      <c r="P5" s="1953"/>
      <c r="Q5" s="1953"/>
      <c r="R5" s="1953"/>
      <c r="S5" s="1953"/>
    </row>
    <row r="6" spans="1:22" ht="13.5" customHeight="1">
      <c r="A6" s="1986" t="s">
        <v>1328</v>
      </c>
      <c r="B6" s="2575" t="s">
        <v>1329</v>
      </c>
      <c r="C6" s="2575"/>
      <c r="D6" s="2575"/>
      <c r="E6" s="2575"/>
      <c r="F6" s="2575"/>
      <c r="G6" s="2575"/>
      <c r="H6" s="2575"/>
      <c r="I6" s="2575"/>
      <c r="J6" s="1957"/>
      <c r="K6" s="1985" t="s">
        <v>1330</v>
      </c>
      <c r="L6" s="2575" t="s">
        <v>1331</v>
      </c>
      <c r="M6" s="2575"/>
      <c r="N6" s="2575"/>
      <c r="O6" s="2575"/>
      <c r="P6" s="2575"/>
      <c r="Q6" s="2575"/>
      <c r="R6" s="2575"/>
      <c r="S6" s="2577"/>
    </row>
    <row r="7" spans="1:22" ht="36" customHeight="1">
      <c r="A7" s="1992"/>
      <c r="B7" s="2576"/>
      <c r="C7" s="2576"/>
      <c r="D7" s="2576"/>
      <c r="E7" s="2576"/>
      <c r="F7" s="2576"/>
      <c r="G7" s="2576"/>
      <c r="H7" s="2576"/>
      <c r="I7" s="2576"/>
      <c r="J7" s="1958"/>
      <c r="K7" s="1991"/>
      <c r="L7" s="2576"/>
      <c r="M7" s="2576"/>
      <c r="N7" s="2576"/>
      <c r="O7" s="2576"/>
      <c r="P7" s="2576"/>
      <c r="Q7" s="2576"/>
      <c r="R7" s="2576"/>
      <c r="S7" s="2578"/>
    </row>
    <row r="8" spans="1:22" ht="16.5">
      <c r="A8" s="1687"/>
      <c r="B8" s="1960">
        <v>1</v>
      </c>
      <c r="C8" s="1961" t="s">
        <v>1332</v>
      </c>
      <c r="D8" s="1952"/>
      <c r="E8" s="1952"/>
      <c r="F8" s="1962"/>
      <c r="G8" s="1962"/>
      <c r="H8" s="1963"/>
      <c r="I8" s="1952"/>
      <c r="J8" s="1964"/>
      <c r="K8" s="1953"/>
      <c r="L8" s="1960">
        <v>1</v>
      </c>
      <c r="M8" s="1961" t="s">
        <v>1332</v>
      </c>
      <c r="N8" s="1961"/>
      <c r="O8" s="1961"/>
      <c r="P8" s="1961"/>
      <c r="Q8" s="1961"/>
      <c r="R8" s="1952"/>
      <c r="S8" s="1965"/>
    </row>
    <row r="9" spans="1:22" ht="13.5" customHeight="1">
      <c r="A9" s="1688"/>
      <c r="B9" s="1960">
        <v>2</v>
      </c>
      <c r="C9" s="1961" t="s">
        <v>1333</v>
      </c>
      <c r="D9" s="1952"/>
      <c r="E9" s="1952"/>
      <c r="F9" s="1952"/>
      <c r="G9" s="1952"/>
      <c r="H9" s="1952"/>
      <c r="I9" s="1952"/>
      <c r="J9" s="1964"/>
      <c r="K9" s="1953"/>
      <c r="L9" s="1960">
        <v>2</v>
      </c>
      <c r="M9" s="1961" t="s">
        <v>1333</v>
      </c>
      <c r="N9" s="1952"/>
      <c r="O9" s="1952"/>
      <c r="P9" s="1952"/>
      <c r="Q9" s="1952"/>
      <c r="R9" s="1952"/>
      <c r="S9" s="1965"/>
      <c r="T9" s="544"/>
      <c r="U9" s="544"/>
      <c r="V9" s="544"/>
    </row>
    <row r="10" spans="1:22" ht="16.5">
      <c r="A10" s="1688"/>
      <c r="B10" s="1960">
        <v>98</v>
      </c>
      <c r="C10" s="1961" t="s">
        <v>1334</v>
      </c>
      <c r="D10" s="1952"/>
      <c r="E10" s="1952"/>
      <c r="F10" s="1952"/>
      <c r="G10" s="1952"/>
      <c r="H10" s="1952"/>
      <c r="I10" s="1952"/>
      <c r="J10" s="1964"/>
      <c r="K10" s="1953"/>
      <c r="L10" s="1960">
        <v>98</v>
      </c>
      <c r="M10" s="1961" t="s">
        <v>1334</v>
      </c>
      <c r="N10" s="1952"/>
      <c r="O10" s="1952"/>
      <c r="P10" s="1952"/>
      <c r="Q10" s="1952"/>
      <c r="R10" s="1952"/>
      <c r="S10" s="1965"/>
      <c r="T10" s="544"/>
      <c r="U10" s="544"/>
      <c r="V10" s="545"/>
    </row>
    <row r="11" spans="1:22" ht="16.5">
      <c r="A11" s="1688"/>
      <c r="B11" s="1960">
        <v>99</v>
      </c>
      <c r="C11" s="1961" t="s">
        <v>1335</v>
      </c>
      <c r="D11" s="1952"/>
      <c r="E11" s="1952"/>
      <c r="F11" s="1952"/>
      <c r="G11" s="1952"/>
      <c r="H11" s="1952"/>
      <c r="I11" s="1952"/>
      <c r="J11" s="1964"/>
      <c r="K11" s="1966"/>
      <c r="L11" s="1967">
        <v>99</v>
      </c>
      <c r="M11" s="1968" t="s">
        <v>1335</v>
      </c>
      <c r="N11" s="1969"/>
      <c r="O11" s="1969"/>
      <c r="P11" s="1969"/>
      <c r="Q11" s="1969"/>
      <c r="R11" s="1969"/>
      <c r="S11" s="1970"/>
      <c r="T11" s="547"/>
      <c r="U11" s="545"/>
      <c r="V11" s="545"/>
    </row>
    <row r="12" spans="1:22" ht="13.5" customHeight="1">
      <c r="A12" s="1690"/>
      <c r="B12" s="1969"/>
      <c r="C12" s="1969"/>
      <c r="D12" s="1969"/>
      <c r="E12" s="1969"/>
      <c r="F12" s="1969"/>
      <c r="G12" s="1969"/>
      <c r="H12" s="1969"/>
      <c r="I12" s="1969"/>
      <c r="J12" s="1964"/>
      <c r="K12" s="1990" t="s">
        <v>1336</v>
      </c>
      <c r="L12" s="2575" t="s">
        <v>1337</v>
      </c>
      <c r="M12" s="2575"/>
      <c r="N12" s="2575"/>
      <c r="O12" s="2575"/>
      <c r="P12" s="2575"/>
      <c r="Q12" s="2575"/>
      <c r="R12" s="2575"/>
      <c r="S12" s="2577"/>
      <c r="T12" s="547"/>
      <c r="U12" s="545"/>
      <c r="V12" s="545"/>
    </row>
    <row r="13" spans="1:22" ht="33.75" customHeight="1">
      <c r="A13" s="1988" t="s">
        <v>1338</v>
      </c>
      <c r="B13" s="2575" t="s">
        <v>1339</v>
      </c>
      <c r="C13" s="2575"/>
      <c r="D13" s="2575"/>
      <c r="E13" s="2575"/>
      <c r="F13" s="2575"/>
      <c r="G13" s="2575"/>
      <c r="H13" s="2575"/>
      <c r="I13" s="2575"/>
      <c r="J13" s="1958"/>
      <c r="K13" s="1971"/>
      <c r="L13" s="2576"/>
      <c r="M13" s="2576"/>
      <c r="N13" s="2576"/>
      <c r="O13" s="2576"/>
      <c r="P13" s="2576"/>
      <c r="Q13" s="2576"/>
      <c r="R13" s="2576"/>
      <c r="S13" s="2578"/>
      <c r="T13" s="547"/>
      <c r="U13" s="545"/>
      <c r="V13" s="545"/>
    </row>
    <row r="14" spans="1:22" ht="24.75" customHeight="1">
      <c r="A14" s="1687"/>
      <c r="B14" s="2576"/>
      <c r="C14" s="2576"/>
      <c r="D14" s="2576"/>
      <c r="E14" s="2576"/>
      <c r="F14" s="2576"/>
      <c r="G14" s="2576"/>
      <c r="H14" s="2576"/>
      <c r="I14" s="2576"/>
      <c r="J14" s="1958"/>
      <c r="K14" s="1953"/>
      <c r="L14" s="1960">
        <v>1</v>
      </c>
      <c r="M14" s="1961" t="s">
        <v>1332</v>
      </c>
      <c r="N14" s="1953"/>
      <c r="O14" s="1953"/>
      <c r="P14" s="1953"/>
      <c r="Q14" s="1953"/>
      <c r="R14" s="1953"/>
      <c r="S14" s="1972"/>
      <c r="T14" s="547"/>
      <c r="U14" s="545"/>
      <c r="V14" s="545"/>
    </row>
    <row r="15" spans="1:22" ht="16.5">
      <c r="A15" s="1687"/>
      <c r="B15" s="1960">
        <v>1</v>
      </c>
      <c r="C15" s="1961" t="s">
        <v>1332</v>
      </c>
      <c r="D15" s="1952"/>
      <c r="E15" s="1952"/>
      <c r="F15" s="1961"/>
      <c r="G15" s="1961"/>
      <c r="H15" s="1961"/>
      <c r="I15" s="1952"/>
      <c r="J15" s="1964"/>
      <c r="K15" s="1953"/>
      <c r="L15" s="1960">
        <v>2</v>
      </c>
      <c r="M15" s="1961" t="str">
        <f>CONCATENATE("Não ► ",K28,)</f>
        <v>Não ► 8A.08</v>
      </c>
      <c r="N15" s="1953"/>
      <c r="O15" s="1953"/>
      <c r="P15" s="1953"/>
      <c r="Q15" s="1953"/>
      <c r="R15" s="1953"/>
      <c r="S15" s="1972"/>
      <c r="T15" s="547"/>
      <c r="U15" s="545"/>
      <c r="V15" s="545"/>
    </row>
    <row r="16" spans="1:22" ht="13.5" customHeight="1">
      <c r="A16" s="1687"/>
      <c r="B16" s="1960">
        <v>2</v>
      </c>
      <c r="C16" s="1961" t="s">
        <v>1333</v>
      </c>
      <c r="D16" s="1952"/>
      <c r="E16" s="1952"/>
      <c r="F16" s="1961"/>
      <c r="G16" s="1961"/>
      <c r="H16" s="1961"/>
      <c r="I16" s="1952"/>
      <c r="J16" s="1964"/>
      <c r="K16" s="1953"/>
      <c r="L16" s="1960">
        <v>98</v>
      </c>
      <c r="M16" s="1961" t="str">
        <f>CONCATENATE("Não sabe ► ",K28,)</f>
        <v>Não sabe ► 8A.08</v>
      </c>
      <c r="N16" s="1953"/>
      <c r="O16" s="1953"/>
      <c r="P16" s="1953"/>
      <c r="Q16" s="1953"/>
      <c r="R16" s="1953"/>
      <c r="S16" s="1972"/>
    </row>
    <row r="17" spans="1:22" ht="16.5">
      <c r="A17" s="1687"/>
      <c r="B17" s="1960">
        <v>98</v>
      </c>
      <c r="C17" s="1961" t="s">
        <v>1334</v>
      </c>
      <c r="D17" s="1973"/>
      <c r="E17" s="1961"/>
      <c r="F17" s="1961"/>
      <c r="G17" s="1961"/>
      <c r="H17" s="1961"/>
      <c r="I17" s="1952"/>
      <c r="J17" s="1964"/>
      <c r="K17" s="1953"/>
      <c r="L17" s="1960">
        <v>99</v>
      </c>
      <c r="M17" s="1961" t="str">
        <f>CONCATENATE("Recusa ► ",K28,)</f>
        <v>Recusa ► 8A.08</v>
      </c>
      <c r="N17" s="1953"/>
      <c r="O17" s="1953"/>
      <c r="P17" s="1953"/>
      <c r="Q17" s="1953"/>
      <c r="R17" s="1953"/>
      <c r="S17" s="1972"/>
    </row>
    <row r="18" spans="1:22" ht="16.5">
      <c r="A18" s="1687"/>
      <c r="B18" s="1960">
        <v>99</v>
      </c>
      <c r="C18" s="1961" t="s">
        <v>1335</v>
      </c>
      <c r="D18" s="1973"/>
      <c r="E18" s="1961"/>
      <c r="F18" s="1959"/>
      <c r="G18" s="1961"/>
      <c r="H18" s="1961"/>
      <c r="I18" s="1952"/>
      <c r="J18" s="1964"/>
      <c r="K18" s="1966"/>
      <c r="L18" s="1974"/>
      <c r="M18" s="1966"/>
      <c r="N18" s="1966"/>
      <c r="O18" s="1966"/>
      <c r="P18" s="1966"/>
      <c r="Q18" s="1966"/>
      <c r="R18" s="1966"/>
      <c r="S18" s="1975"/>
    </row>
    <row r="19" spans="1:22" ht="13.5" customHeight="1">
      <c r="A19" s="1691"/>
      <c r="B19" s="1969"/>
      <c r="C19" s="1969"/>
      <c r="D19" s="1976"/>
      <c r="E19" s="1968"/>
      <c r="F19" s="1968"/>
      <c r="G19" s="1968"/>
      <c r="H19" s="1968"/>
      <c r="I19" s="1969"/>
      <c r="J19" s="1964"/>
      <c r="K19" s="1989" t="s">
        <v>1340</v>
      </c>
      <c r="L19" s="2575" t="s">
        <v>1341</v>
      </c>
      <c r="M19" s="2575"/>
      <c r="N19" s="2575"/>
      <c r="O19" s="2575"/>
      <c r="P19" s="2575"/>
      <c r="Q19" s="2575"/>
      <c r="R19" s="2575"/>
      <c r="S19" s="2577"/>
    </row>
    <row r="20" spans="1:22" ht="13.5" customHeight="1">
      <c r="A20" s="1987" t="s">
        <v>1342</v>
      </c>
      <c r="B20" s="2575" t="s">
        <v>1343</v>
      </c>
      <c r="C20" s="2575"/>
      <c r="D20" s="2575"/>
      <c r="E20" s="2575"/>
      <c r="F20" s="2575"/>
      <c r="G20" s="2575"/>
      <c r="H20" s="2575"/>
      <c r="I20" s="2575"/>
      <c r="J20" s="1958"/>
      <c r="K20" s="1971"/>
      <c r="L20" s="2576"/>
      <c r="M20" s="2576"/>
      <c r="N20" s="2576"/>
      <c r="O20" s="2576"/>
      <c r="P20" s="2576"/>
      <c r="Q20" s="2576"/>
      <c r="R20" s="2576"/>
      <c r="S20" s="2578"/>
    </row>
    <row r="21" spans="1:22" ht="40.5" customHeight="1">
      <c r="A21" s="1687"/>
      <c r="B21" s="2576"/>
      <c r="C21" s="2576"/>
      <c r="D21" s="2576"/>
      <c r="E21" s="2576"/>
      <c r="F21" s="2576"/>
      <c r="G21" s="2576"/>
      <c r="H21" s="2576"/>
      <c r="I21" s="2576"/>
      <c r="J21" s="1958"/>
      <c r="K21" s="1971"/>
      <c r="L21" s="2576"/>
      <c r="M21" s="2576"/>
      <c r="N21" s="2576"/>
      <c r="O21" s="2576"/>
      <c r="P21" s="2576"/>
      <c r="Q21" s="2576"/>
      <c r="R21" s="2576"/>
      <c r="S21" s="2578"/>
    </row>
    <row r="22" spans="1:22" ht="22.5" customHeight="1">
      <c r="A22" s="1687"/>
      <c r="B22" s="1960">
        <v>1</v>
      </c>
      <c r="C22" s="1961" t="s">
        <v>1332</v>
      </c>
      <c r="D22" s="1952"/>
      <c r="E22" s="1952"/>
      <c r="F22" s="1961"/>
      <c r="G22" s="1961"/>
      <c r="H22" s="1961"/>
      <c r="I22" s="1952"/>
      <c r="J22" s="1964"/>
      <c r="K22" s="1971"/>
      <c r="L22" s="2576"/>
      <c r="M22" s="2576"/>
      <c r="N22" s="2576"/>
      <c r="O22" s="2576"/>
      <c r="P22" s="2576"/>
      <c r="Q22" s="2576"/>
      <c r="R22" s="2576"/>
      <c r="S22" s="2578"/>
      <c r="T22" s="543"/>
      <c r="U22" s="2579"/>
      <c r="V22" s="2579"/>
    </row>
    <row r="23" spans="1:22" ht="16.5">
      <c r="A23" s="1687"/>
      <c r="B23" s="1960">
        <v>2</v>
      </c>
      <c r="C23" s="1961" t="s">
        <v>1333</v>
      </c>
      <c r="D23" s="1952"/>
      <c r="E23" s="1952"/>
      <c r="F23" s="1961"/>
      <c r="G23" s="1961"/>
      <c r="H23" s="1961"/>
      <c r="I23" s="1952"/>
      <c r="J23" s="1964"/>
      <c r="K23" s="1971"/>
      <c r="L23" s="1960">
        <v>1</v>
      </c>
      <c r="M23" s="1961" t="s">
        <v>1344</v>
      </c>
      <c r="N23" s="1953"/>
      <c r="O23" s="1953"/>
      <c r="P23" s="1977"/>
      <c r="Q23" s="1977"/>
      <c r="R23" s="1977"/>
      <c r="S23" s="1972"/>
      <c r="T23" s="543"/>
      <c r="U23" s="545"/>
      <c r="V23" s="545"/>
    </row>
    <row r="24" spans="1:22" ht="16.5">
      <c r="A24" s="1687"/>
      <c r="B24" s="1960">
        <v>98</v>
      </c>
      <c r="C24" s="1961" t="s">
        <v>1334</v>
      </c>
      <c r="D24" s="1973"/>
      <c r="E24" s="1961"/>
      <c r="F24" s="1961"/>
      <c r="G24" s="1961"/>
      <c r="H24" s="1961"/>
      <c r="I24" s="1952"/>
      <c r="J24" s="1964"/>
      <c r="K24" s="1971"/>
      <c r="L24" s="1978">
        <v>2</v>
      </c>
      <c r="M24" s="1979" t="s">
        <v>1345</v>
      </c>
      <c r="N24" s="1977"/>
      <c r="O24" s="1977"/>
      <c r="P24" s="1977"/>
      <c r="Q24" s="1977"/>
      <c r="R24" s="1977"/>
      <c r="S24" s="1972"/>
      <c r="T24" s="543"/>
      <c r="U24" s="545"/>
      <c r="V24" s="545"/>
    </row>
    <row r="25" spans="1:22" ht="13.5" customHeight="1">
      <c r="A25" s="1687"/>
      <c r="B25" s="1960">
        <v>99</v>
      </c>
      <c r="C25" s="1961" t="s">
        <v>1335</v>
      </c>
      <c r="D25" s="1973"/>
      <c r="E25" s="1961"/>
      <c r="F25" s="1961"/>
      <c r="G25" s="1961"/>
      <c r="H25" s="1961"/>
      <c r="I25" s="1952"/>
      <c r="J25" s="1964"/>
      <c r="K25" s="1971"/>
      <c r="L25" s="1978">
        <v>3</v>
      </c>
      <c r="M25" s="1979" t="s">
        <v>1346</v>
      </c>
      <c r="N25" s="1953"/>
      <c r="O25" s="1953"/>
      <c r="P25" s="1953"/>
      <c r="Q25" s="1953"/>
      <c r="R25" s="1953"/>
      <c r="S25" s="1972"/>
    </row>
    <row r="26" spans="1:22" ht="13.5" customHeight="1">
      <c r="A26" s="1691"/>
      <c r="B26" s="1976"/>
      <c r="C26" s="1968"/>
      <c r="D26" s="1976"/>
      <c r="E26" s="1968"/>
      <c r="F26" s="1968"/>
      <c r="G26" s="1968"/>
      <c r="H26" s="1968"/>
      <c r="I26" s="1969"/>
      <c r="J26" s="1964"/>
      <c r="K26" s="1953"/>
      <c r="L26" s="1978">
        <v>98</v>
      </c>
      <c r="M26" s="1979" t="s">
        <v>1347</v>
      </c>
      <c r="N26" s="1953"/>
      <c r="O26" s="1953"/>
      <c r="P26" s="1953"/>
      <c r="Q26" s="1953"/>
      <c r="R26" s="1953"/>
      <c r="S26" s="1972"/>
    </row>
    <row r="27" spans="1:22" ht="13.5" customHeight="1">
      <c r="A27" s="1986" t="s">
        <v>1348</v>
      </c>
      <c r="B27" s="2575" t="s">
        <v>1349</v>
      </c>
      <c r="C27" s="2575"/>
      <c r="D27" s="2575"/>
      <c r="E27" s="2575"/>
      <c r="F27" s="2575"/>
      <c r="G27" s="2575"/>
      <c r="H27" s="2575"/>
      <c r="I27" s="2575"/>
      <c r="J27" s="1958"/>
      <c r="K27" s="1966"/>
      <c r="L27" s="1980">
        <v>99</v>
      </c>
      <c r="M27" s="1981" t="s">
        <v>1335</v>
      </c>
      <c r="N27" s="1966"/>
      <c r="O27" s="1966"/>
      <c r="P27" s="1966"/>
      <c r="Q27" s="1966"/>
      <c r="R27" s="1966"/>
      <c r="S27" s="1975"/>
    </row>
    <row r="28" spans="1:22" ht="37.5" customHeight="1">
      <c r="A28" s="1687"/>
      <c r="B28" s="2576"/>
      <c r="C28" s="2576"/>
      <c r="D28" s="2576"/>
      <c r="E28" s="2576"/>
      <c r="F28" s="2576"/>
      <c r="G28" s="2576"/>
      <c r="H28" s="2576"/>
      <c r="I28" s="2576"/>
      <c r="J28" s="1958"/>
      <c r="K28" s="1989" t="s">
        <v>1350</v>
      </c>
      <c r="L28" s="2575" t="s">
        <v>1351</v>
      </c>
      <c r="M28" s="2575"/>
      <c r="N28" s="2575"/>
      <c r="O28" s="2575"/>
      <c r="P28" s="2575"/>
      <c r="Q28" s="2575"/>
      <c r="R28" s="2575"/>
      <c r="S28" s="2577"/>
    </row>
    <row r="29" spans="1:22" ht="13.5" customHeight="1">
      <c r="A29" s="1687"/>
      <c r="B29" s="1960">
        <v>1</v>
      </c>
      <c r="C29" s="1961" t="s">
        <v>1332</v>
      </c>
      <c r="D29" s="1952"/>
      <c r="E29" s="1952"/>
      <c r="F29" s="1961"/>
      <c r="G29" s="1961"/>
      <c r="H29" s="1961"/>
      <c r="I29" s="1952"/>
      <c r="J29" s="1964"/>
      <c r="K29" s="1971"/>
      <c r="L29" s="2576"/>
      <c r="M29" s="2576"/>
      <c r="N29" s="2576"/>
      <c r="O29" s="2576"/>
      <c r="P29" s="2576"/>
      <c r="Q29" s="2576"/>
      <c r="R29" s="2576"/>
      <c r="S29" s="2578"/>
    </row>
    <row r="30" spans="1:22" ht="16.5">
      <c r="A30" s="1687"/>
      <c r="B30" s="1960">
        <v>2</v>
      </c>
      <c r="C30" s="1961" t="s">
        <v>1333</v>
      </c>
      <c r="D30" s="1952"/>
      <c r="E30" s="1952"/>
      <c r="F30" s="1961"/>
      <c r="G30" s="1961"/>
      <c r="H30" s="1961"/>
      <c r="I30" s="1952"/>
      <c r="J30" s="1964"/>
      <c r="K30" s="1971"/>
      <c r="L30" s="1960">
        <v>1</v>
      </c>
      <c r="M30" s="1961" t="s">
        <v>1332</v>
      </c>
      <c r="N30" s="1977"/>
      <c r="O30" s="1977"/>
      <c r="P30" s="1977"/>
      <c r="Q30" s="1977"/>
      <c r="R30" s="1977"/>
      <c r="S30" s="1972"/>
    </row>
    <row r="31" spans="1:22" ht="16.5">
      <c r="A31" s="1687"/>
      <c r="B31" s="1960">
        <v>98</v>
      </c>
      <c r="C31" s="1961" t="s">
        <v>1334</v>
      </c>
      <c r="D31" s="1973"/>
      <c r="E31" s="1961"/>
      <c r="F31" s="1961"/>
      <c r="G31" s="1961"/>
      <c r="H31" s="1961"/>
      <c r="I31" s="1952"/>
      <c r="J31" s="1964"/>
      <c r="K31" s="1971"/>
      <c r="L31" s="1960">
        <v>2</v>
      </c>
      <c r="M31" s="1961" t="str">
        <f>CONCATENATE("Não ► 8B.00")</f>
        <v>Não ► 8B.00</v>
      </c>
      <c r="N31" s="1977"/>
      <c r="O31" s="1977"/>
      <c r="P31" s="1977"/>
      <c r="Q31" s="1977"/>
      <c r="R31" s="1977"/>
      <c r="S31" s="1972"/>
    </row>
    <row r="32" spans="1:22" ht="16.5">
      <c r="A32" s="1687"/>
      <c r="B32" s="1960">
        <v>99</v>
      </c>
      <c r="C32" s="1961" t="s">
        <v>1335</v>
      </c>
      <c r="D32" s="1973"/>
      <c r="E32" s="1961"/>
      <c r="F32" s="1961"/>
      <c r="G32" s="1961"/>
      <c r="H32" s="1961"/>
      <c r="I32" s="1952"/>
      <c r="J32" s="1964"/>
      <c r="K32" s="1971"/>
      <c r="L32" s="1960">
        <v>98</v>
      </c>
      <c r="M32" s="1961" t="str">
        <f>CONCATENATE("Não sabe ► 8B.00")</f>
        <v>Não sabe ► 8B.00</v>
      </c>
      <c r="N32" s="1977"/>
      <c r="O32" s="1977"/>
      <c r="P32" s="1977"/>
      <c r="Q32" s="1977"/>
      <c r="R32" s="1977"/>
      <c r="S32" s="1972"/>
    </row>
    <row r="33" spans="1:19" ht="16.5">
      <c r="A33" s="1687"/>
      <c r="B33" s="1973"/>
      <c r="C33" s="1961"/>
      <c r="D33" s="1973"/>
      <c r="E33" s="1961"/>
      <c r="F33" s="1961"/>
      <c r="G33" s="1961"/>
      <c r="H33" s="1961"/>
      <c r="I33" s="1952"/>
      <c r="J33" s="1964"/>
      <c r="K33" s="1971"/>
      <c r="L33" s="1960">
        <v>99</v>
      </c>
      <c r="M33" s="1961" t="str">
        <f>CONCATENATE("Recusa ► 8B.00")</f>
        <v>Recusa ► 8B.00</v>
      </c>
      <c r="N33" s="1977"/>
      <c r="O33" s="1977"/>
      <c r="P33" s="1977"/>
      <c r="Q33" s="1977"/>
      <c r="R33" s="1977"/>
      <c r="S33" s="1972"/>
    </row>
    <row r="34" spans="1:19" ht="13.5" customHeight="1">
      <c r="A34" s="1986" t="s">
        <v>1352</v>
      </c>
      <c r="B34" s="2575" t="s">
        <v>1353</v>
      </c>
      <c r="C34" s="2575"/>
      <c r="D34" s="2575"/>
      <c r="E34" s="2575"/>
      <c r="F34" s="2575"/>
      <c r="G34" s="2575"/>
      <c r="H34" s="2575"/>
      <c r="I34" s="2575"/>
      <c r="J34" s="1958"/>
      <c r="K34" s="1971"/>
      <c r="L34" s="1953"/>
      <c r="M34" s="1953"/>
      <c r="N34" s="1977"/>
      <c r="O34" s="1977"/>
      <c r="P34" s="1977"/>
      <c r="Q34" s="1977"/>
      <c r="R34" s="1977"/>
      <c r="S34" s="1972"/>
    </row>
    <row r="35" spans="1:19" ht="44.25" customHeight="1">
      <c r="A35" s="1687"/>
      <c r="B35" s="2576"/>
      <c r="C35" s="2576"/>
      <c r="D35" s="2576"/>
      <c r="E35" s="2576"/>
      <c r="F35" s="2576"/>
      <c r="G35" s="2576"/>
      <c r="H35" s="2576"/>
      <c r="I35" s="2576"/>
      <c r="J35" s="1982"/>
      <c r="K35" s="1988" t="s">
        <v>1354</v>
      </c>
      <c r="L35" s="2575" t="s">
        <v>1355</v>
      </c>
      <c r="M35" s="2575"/>
      <c r="N35" s="2575"/>
      <c r="O35" s="2575"/>
      <c r="P35" s="2575"/>
      <c r="Q35" s="2575"/>
      <c r="R35" s="2575"/>
      <c r="S35" s="2577"/>
    </row>
    <row r="36" spans="1:19" ht="16.5">
      <c r="A36" s="1687"/>
      <c r="B36" s="1960">
        <v>1</v>
      </c>
      <c r="C36" s="1961" t="s">
        <v>1332</v>
      </c>
      <c r="D36" s="1961"/>
      <c r="E36" s="1961"/>
      <c r="F36" s="1961"/>
      <c r="G36" s="1961"/>
      <c r="H36" s="1961"/>
      <c r="I36" s="1952"/>
      <c r="J36" s="1983"/>
      <c r="K36" s="1984"/>
      <c r="L36" s="2576"/>
      <c r="M36" s="2576"/>
      <c r="N36" s="2576"/>
      <c r="O36" s="2576"/>
      <c r="P36" s="2576"/>
      <c r="Q36" s="2576"/>
      <c r="R36" s="2576"/>
      <c r="S36" s="2578"/>
    </row>
    <row r="37" spans="1:19" ht="16.5">
      <c r="A37" s="1688"/>
      <c r="B37" s="1960">
        <v>2</v>
      </c>
      <c r="C37" s="1961" t="s">
        <v>1333</v>
      </c>
      <c r="D37" s="1952"/>
      <c r="E37" s="1952"/>
      <c r="F37" s="1952"/>
      <c r="G37" s="1952"/>
      <c r="H37" s="1952"/>
      <c r="I37" s="1952"/>
      <c r="J37" s="1983"/>
      <c r="K37" s="1984"/>
      <c r="L37" s="2576"/>
      <c r="M37" s="2576"/>
      <c r="N37" s="2576"/>
      <c r="O37" s="2576"/>
      <c r="P37" s="2576"/>
      <c r="Q37" s="2576"/>
      <c r="R37" s="2576"/>
      <c r="S37" s="2578"/>
    </row>
    <row r="38" spans="1:19" ht="16.5">
      <c r="A38" s="1688"/>
      <c r="B38" s="1960">
        <v>98</v>
      </c>
      <c r="C38" s="1961" t="s">
        <v>1334</v>
      </c>
      <c r="D38" s="1952"/>
      <c r="E38" s="1952"/>
      <c r="F38" s="1952"/>
      <c r="G38" s="1952"/>
      <c r="H38" s="1952"/>
      <c r="I38" s="1952"/>
      <c r="J38" s="1983"/>
      <c r="K38" s="1984"/>
      <c r="L38" s="1960">
        <v>1</v>
      </c>
      <c r="M38" s="1961" t="s">
        <v>1344</v>
      </c>
      <c r="N38" s="1952"/>
      <c r="O38" s="1952"/>
      <c r="P38" s="1952"/>
      <c r="Q38" s="1952"/>
      <c r="R38" s="1952"/>
      <c r="S38" s="1965"/>
    </row>
    <row r="39" spans="1:19" ht="16.5">
      <c r="A39" s="1688"/>
      <c r="B39" s="1960">
        <v>99</v>
      </c>
      <c r="C39" s="1961" t="s">
        <v>1335</v>
      </c>
      <c r="D39" s="1952"/>
      <c r="E39" s="1952"/>
      <c r="F39" s="1952"/>
      <c r="G39" s="1952"/>
      <c r="H39" s="1952"/>
      <c r="I39" s="1952"/>
      <c r="J39" s="1983"/>
      <c r="K39" s="1984"/>
      <c r="L39" s="1978">
        <v>2</v>
      </c>
      <c r="M39" s="1979" t="s">
        <v>1345</v>
      </c>
      <c r="N39" s="1952"/>
      <c r="O39" s="1952"/>
      <c r="P39" s="1952"/>
      <c r="Q39" s="1952"/>
      <c r="R39" s="1952"/>
      <c r="S39" s="1965"/>
    </row>
    <row r="40" spans="1:19" ht="16.5">
      <c r="A40" s="1688"/>
      <c r="B40" s="1973"/>
      <c r="C40" s="1961"/>
      <c r="D40" s="1952"/>
      <c r="E40" s="1952"/>
      <c r="F40" s="1952"/>
      <c r="G40" s="1952"/>
      <c r="H40" s="1952"/>
      <c r="I40" s="1952"/>
      <c r="J40" s="1983"/>
      <c r="K40" s="1984"/>
      <c r="L40" s="1978">
        <v>3</v>
      </c>
      <c r="M40" s="1979" t="s">
        <v>1346</v>
      </c>
      <c r="N40" s="1952"/>
      <c r="O40" s="1952"/>
      <c r="P40" s="1952"/>
      <c r="Q40" s="1952"/>
      <c r="R40" s="1952"/>
      <c r="S40" s="1965"/>
    </row>
    <row r="41" spans="1:19" ht="16.5">
      <c r="A41" s="1688"/>
      <c r="B41" s="1952"/>
      <c r="C41" s="1952"/>
      <c r="D41" s="1952"/>
      <c r="E41" s="1952"/>
      <c r="F41" s="1952"/>
      <c r="G41" s="1952"/>
      <c r="H41" s="1952"/>
      <c r="I41" s="1952"/>
      <c r="J41" s="1983"/>
      <c r="K41" s="1984"/>
      <c r="L41" s="1978">
        <v>98</v>
      </c>
      <c r="M41" s="1979" t="s">
        <v>1347</v>
      </c>
      <c r="N41" s="1952"/>
      <c r="O41" s="1952"/>
      <c r="P41" s="1952"/>
      <c r="Q41" s="1952"/>
      <c r="R41" s="1953"/>
      <c r="S41" s="1965"/>
    </row>
    <row r="42" spans="1:19" ht="16.5">
      <c r="A42" s="1688"/>
      <c r="B42" s="1952"/>
      <c r="C42" s="1952"/>
      <c r="D42" s="1952"/>
      <c r="E42" s="1952"/>
      <c r="F42" s="1952"/>
      <c r="G42" s="1952"/>
      <c r="H42" s="1952"/>
      <c r="I42" s="1952"/>
      <c r="J42" s="1983"/>
      <c r="K42" s="1984"/>
      <c r="L42" s="1978">
        <v>99</v>
      </c>
      <c r="M42" s="1979" t="s">
        <v>1335</v>
      </c>
      <c r="N42" s="1953"/>
      <c r="O42" s="1953"/>
      <c r="P42" s="1953"/>
      <c r="Q42" s="1953"/>
      <c r="R42" s="1953"/>
      <c r="S42" s="1965"/>
    </row>
    <row r="47" spans="1:19" ht="18" customHeight="1"/>
    <row r="48" spans="1:19" ht="18" customHeight="1">
      <c r="A48" s="1686"/>
      <c r="B48" s="1693"/>
      <c r="C48" s="1692"/>
      <c r="D48" s="1686"/>
      <c r="E48" s="1686"/>
      <c r="F48" s="1686"/>
      <c r="G48" s="1686"/>
      <c r="H48" s="1686"/>
      <c r="I48" s="1686"/>
      <c r="J48" s="1686"/>
    </row>
    <row r="49" spans="1:10" ht="13.5" customHeight="1">
      <c r="A49" s="1686"/>
      <c r="D49" s="1686"/>
      <c r="E49" s="1686"/>
      <c r="F49" s="1686"/>
      <c r="G49" s="1686"/>
      <c r="H49" s="1686"/>
      <c r="I49" s="1686"/>
      <c r="J49" s="1686"/>
    </row>
    <row r="50" spans="1:10" ht="24.6" customHeight="1">
      <c r="A50" s="1686"/>
      <c r="D50" s="1686"/>
      <c r="E50" s="1686"/>
      <c r="F50" s="1686"/>
      <c r="G50" s="1686"/>
      <c r="H50" s="1686"/>
      <c r="I50" s="1686"/>
      <c r="J50" s="1686"/>
    </row>
    <row r="51" spans="1:10" ht="24.6" customHeight="1">
      <c r="A51" s="1686"/>
      <c r="D51" s="1686"/>
      <c r="E51" s="1686"/>
      <c r="F51" s="1686"/>
      <c r="G51" s="1686"/>
      <c r="H51" s="1686"/>
      <c r="I51" s="1686"/>
      <c r="J51" s="1686"/>
    </row>
    <row r="52" spans="1:10" ht="24.6" customHeight="1">
      <c r="A52" s="1686"/>
      <c r="D52" s="1686"/>
      <c r="E52" s="1686"/>
      <c r="F52" s="1686"/>
      <c r="G52" s="1686"/>
      <c r="H52" s="1686"/>
      <c r="I52" s="1686"/>
      <c r="J52" s="1686"/>
    </row>
    <row r="53" spans="1:10" ht="24.6" customHeight="1">
      <c r="A53" s="1686"/>
      <c r="D53" s="1686"/>
      <c r="E53" s="1686"/>
      <c r="F53" s="1686"/>
      <c r="G53" s="1686"/>
      <c r="H53" s="1686"/>
      <c r="I53" s="1686"/>
      <c r="J53" s="1686"/>
    </row>
    <row r="54" spans="1:10" ht="24.6" customHeight="1">
      <c r="A54" s="1686"/>
      <c r="D54" s="1686"/>
      <c r="E54" s="1686"/>
      <c r="F54" s="1686"/>
      <c r="G54" s="1686"/>
      <c r="H54" s="1686"/>
      <c r="I54" s="1686"/>
      <c r="J54" s="1686"/>
    </row>
    <row r="55" spans="1:10" ht="24.6" customHeight="1">
      <c r="A55" s="1686"/>
      <c r="D55" s="1686"/>
      <c r="E55" s="1686"/>
      <c r="F55" s="1686"/>
      <c r="G55" s="1686"/>
      <c r="H55" s="1686"/>
      <c r="I55" s="1686"/>
      <c r="J55" s="1686"/>
    </row>
    <row r="56" spans="1:10" ht="24.6" customHeight="1">
      <c r="A56" s="1686"/>
      <c r="D56" s="1686"/>
      <c r="E56" s="1686"/>
      <c r="F56" s="1686"/>
      <c r="G56" s="1686"/>
      <c r="H56" s="1686"/>
      <c r="I56" s="1686"/>
      <c r="J56" s="1686"/>
    </row>
    <row r="57" spans="1:10" ht="39.75" customHeight="1">
      <c r="A57" s="1686"/>
      <c r="D57" s="1686"/>
      <c r="E57" s="1686"/>
      <c r="F57" s="1686"/>
      <c r="G57" s="1686"/>
      <c r="H57" s="1686"/>
      <c r="I57" s="1686"/>
      <c r="J57" s="1686"/>
    </row>
    <row r="58" spans="1:10" ht="24.6" customHeight="1">
      <c r="A58" s="1686"/>
      <c r="D58" s="1686"/>
      <c r="E58" s="1686"/>
      <c r="F58" s="1686"/>
      <c r="G58" s="1686"/>
      <c r="H58" s="1686"/>
      <c r="I58" s="1686"/>
      <c r="J58" s="1686"/>
    </row>
    <row r="59" spans="1:10" ht="39.75" customHeight="1">
      <c r="A59" s="1686"/>
      <c r="D59" s="1686"/>
      <c r="E59" s="1686"/>
      <c r="F59" s="1686"/>
      <c r="G59" s="1686"/>
      <c r="H59" s="1686"/>
      <c r="I59" s="1686"/>
      <c r="J59" s="1686"/>
    </row>
  </sheetData>
  <customSheetViews>
    <customSheetView guid="{9C153D9E-615C-443B-9CD7-551163282F03}" scale="160" showPageBreaks="1" printArea="1" view="pageBreakPreview" topLeftCell="A16">
      <selection activeCell="H23" sqref="H23"/>
      <pageMargins left="0" right="0" top="0" bottom="0" header="0" footer="0"/>
      <pageSetup scale="97" firstPageNumber="50" orientation="landscape" r:id="rId1"/>
      <headerFooter>
        <oddFooter>&amp;C&amp;P</oddFooter>
      </headerFooter>
    </customSheetView>
    <customSheetView guid="{BE9F68F7-D81B-4526-9959-D871EC50BDFF}" scale="160" showPageBreaks="1" printArea="1" view="pageBreakPreview" topLeftCell="A16">
      <selection activeCell="H23" sqref="H23"/>
      <pageMargins left="0" right="0" top="0" bottom="0" header="0" footer="0"/>
      <pageSetup scale="97" firstPageNumber="50" orientation="landscape" r:id="rId2"/>
      <headerFooter>
        <oddFooter>&amp;C&amp;P</oddFooter>
      </headerFooter>
    </customSheetView>
    <customSheetView guid="{EF790C5B-80DA-4544-9EB7-EFE0323B2298}" scale="160" showPageBreaks="1" printArea="1" view="pageBreakPreview">
      <selection activeCell="I12" sqref="I12"/>
      <pageMargins left="0" right="0" top="0" bottom="0" header="0" footer="0"/>
      <pageSetup scale="97" firstPageNumber="50" orientation="landscape" r:id="rId3"/>
      <headerFooter>
        <oddFooter>&amp;C&amp;P</oddFooter>
      </headerFooter>
    </customSheetView>
    <customSheetView guid="{C9D2DBB1-CD01-4732-8C86-64BE16C94753}" scale="90" showPageBreaks="1" printArea="1" view="pageBreakPreview">
      <selection activeCell="A2" sqref="A2"/>
      <pageMargins left="0" right="0" top="0" bottom="0" header="0" footer="0"/>
      <pageSetup scale="97" firstPageNumber="50" orientation="landscape" r:id="rId4"/>
      <headerFooter>
        <oddFooter>&amp;C&amp;P</oddFooter>
      </headerFooter>
    </customSheetView>
    <customSheetView guid="{BFEC163F-7C4E-49B7-9F32-15225772E72F}" scale="90" showPageBreaks="1" printArea="1" view="pageBreakPreview">
      <selection activeCell="A2" sqref="A2"/>
      <pageMargins left="0" right="0" top="0" bottom="0" header="0" footer="0"/>
      <pageSetup scale="97" firstPageNumber="50" orientation="landscape" r:id="rId5"/>
      <headerFooter>
        <oddFooter>&amp;C&amp;P</oddFooter>
      </headerFooter>
    </customSheetView>
    <customSheetView guid="{5529DB6B-163A-4048-9107-267B30B97DF3}" scale="90" showPageBreaks="1" printArea="1" view="pageBreakPreview">
      <selection activeCell="A2" sqref="A2"/>
      <pageMargins left="0" right="0" top="0" bottom="0" header="0" footer="0"/>
      <pageSetup scale="97" firstPageNumber="50" orientation="landscape" r:id="rId6"/>
      <headerFooter>
        <oddFooter>&amp;C&amp;P</oddFooter>
      </headerFooter>
    </customSheetView>
    <customSheetView guid="{9B0763AA-FA4B-479A-900C-C113E8BEEFEB}" scale="110" showPageBreaks="1" printArea="1" view="pageBreakPreview" topLeftCell="A19">
      <selection activeCell="A2" sqref="A2"/>
      <pageMargins left="0" right="0" top="0" bottom="0" header="0" footer="0"/>
      <pageSetup scale="97" firstPageNumber="50" orientation="landscape" r:id="rId7"/>
      <headerFooter>
        <oddFooter>&amp;C&amp;P</oddFooter>
      </headerFooter>
    </customSheetView>
    <customSheetView guid="{89903799-8228-4A6D-8A81-7F80BC61226D}" scale="160" showPageBreaks="1" printArea="1" view="pageBreakPreview" topLeftCell="G28">
      <selection activeCell="H23" sqref="H23"/>
      <pageMargins left="0" right="0" top="0" bottom="0" header="0" footer="0"/>
      <pageSetup scale="97" firstPageNumber="50" orientation="landscape" r:id="rId8"/>
      <headerFooter>
        <oddFooter>&amp;C&amp;P</oddFooter>
      </headerFooter>
    </customSheetView>
    <customSheetView guid="{2524630E-605A-4616-AD5D-6CF7B1E9752C}" scale="160" showPageBreaks="1" printArea="1" view="pageBreakPreview">
      <selection activeCell="I12" sqref="I12"/>
      <pageMargins left="0" right="0" top="0" bottom="0" header="0" footer="0"/>
      <pageSetup scale="97" firstPageNumber="50" orientation="landscape" r:id="rId9"/>
      <headerFooter>
        <oddFooter>&amp;C&amp;P</oddFooter>
      </headerFooter>
    </customSheetView>
  </customSheetViews>
  <mergeCells count="11">
    <mergeCell ref="U22:V22"/>
    <mergeCell ref="B27:I28"/>
    <mergeCell ref="L28:S29"/>
    <mergeCell ref="B34:I35"/>
    <mergeCell ref="L35:S37"/>
    <mergeCell ref="B6:I7"/>
    <mergeCell ref="L6:S7"/>
    <mergeCell ref="L12:S13"/>
    <mergeCell ref="B13:I14"/>
    <mergeCell ref="B20:I21"/>
    <mergeCell ref="L19:S22"/>
  </mergeCells>
  <pageMargins left="0.314" right="0.314" top="0.11799999999999999" bottom="0.27500000000000002" header="0.157" footer="0.11799999999999999"/>
  <pageSetup scale="77" firstPageNumber="50" orientation="landscape" r:id="rId10"/>
  <headerFooter>
    <oddFooter>&amp;C&amp;P</oddFooter>
  </headerFooter>
  <drawing r:id="rId1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N21"/>
  <sheetViews>
    <sheetView view="pageBreakPreview" topLeftCell="A28" zoomScale="130" zoomScaleNormal="130" zoomScaleSheetLayoutView="130" workbookViewId="0">
      <selection activeCell="K15" sqref="K15"/>
    </sheetView>
  </sheetViews>
  <sheetFormatPr defaultColWidth="9.140625" defaultRowHeight="13.5"/>
  <cols>
    <col min="1" max="1" width="5.5703125" style="114" customWidth="1"/>
    <col min="2" max="2" width="14.42578125" style="114" customWidth="1"/>
    <col min="3" max="3" width="16.42578125" style="114" customWidth="1"/>
    <col min="4" max="4" width="6.85546875" style="114" customWidth="1"/>
    <col min="5" max="5" width="5.85546875" style="114" customWidth="1"/>
    <col min="6" max="6" width="11.85546875" style="114" customWidth="1"/>
    <col min="7" max="7" width="7.42578125" style="114" customWidth="1"/>
    <col min="8" max="8" width="18" style="114" customWidth="1"/>
    <col min="9" max="9" width="4.5703125" style="1686" customWidth="1"/>
    <col min="10" max="10" width="5.140625" style="1686" customWidth="1"/>
    <col min="11" max="11" width="14.5703125" style="1686" customWidth="1"/>
    <col min="12" max="13" width="11.7109375" style="1686" customWidth="1"/>
    <col min="14" max="16384" width="9.140625" style="115"/>
  </cols>
  <sheetData>
    <row r="1" spans="1:13">
      <c r="A1" s="542" t="s">
        <v>1325</v>
      </c>
    </row>
    <row r="2" spans="1:13">
      <c r="A2" s="542" t="s">
        <v>1356</v>
      </c>
    </row>
    <row r="3" spans="1:13">
      <c r="A3" s="542"/>
    </row>
    <row r="4" spans="1:13">
      <c r="B4" s="538" t="s">
        <v>1357</v>
      </c>
      <c r="C4" s="135"/>
      <c r="D4" s="537"/>
      <c r="E4" s="537"/>
      <c r="F4" s="537"/>
    </row>
    <row r="5" spans="1:13">
      <c r="B5" s="538"/>
      <c r="C5" s="135"/>
      <c r="D5" s="537"/>
      <c r="E5" s="537"/>
      <c r="F5" s="537"/>
    </row>
    <row r="6" spans="1:13" ht="12.75" customHeight="1"/>
    <row r="7" spans="1:13">
      <c r="A7" s="2589" t="s">
        <v>1358</v>
      </c>
      <c r="B7" s="1694"/>
      <c r="C7" s="1695"/>
      <c r="D7" s="1695"/>
      <c r="E7" s="1695"/>
      <c r="F7" s="1695"/>
      <c r="G7" s="1695"/>
      <c r="H7" s="1696" t="s">
        <v>1359</v>
      </c>
      <c r="J7" s="1710" t="s">
        <v>1360</v>
      </c>
      <c r="K7" s="1711"/>
      <c r="L7" s="1695"/>
      <c r="M7" s="1712"/>
    </row>
    <row r="8" spans="1:13" ht="53.25" customHeight="1">
      <c r="A8" s="2590"/>
      <c r="B8" s="2592"/>
      <c r="C8" s="47"/>
      <c r="D8" s="47"/>
      <c r="E8" s="47"/>
      <c r="F8" s="47"/>
      <c r="G8" s="47"/>
      <c r="H8" s="2594" t="s">
        <v>1361</v>
      </c>
      <c r="J8" s="2596" t="s">
        <v>1362</v>
      </c>
      <c r="K8" s="2597"/>
      <c r="L8" s="2597"/>
      <c r="M8" s="2598"/>
    </row>
    <row r="9" spans="1:13">
      <c r="A9" s="2590"/>
      <c r="B9" s="2592"/>
      <c r="C9" s="47"/>
      <c r="D9" s="47"/>
      <c r="E9" s="47"/>
      <c r="F9" s="47"/>
      <c r="G9" s="47"/>
      <c r="H9" s="2595"/>
      <c r="J9" s="1713"/>
      <c r="K9" s="1714"/>
      <c r="L9" s="1714"/>
      <c r="M9" s="1715"/>
    </row>
    <row r="10" spans="1:13" ht="14.25" thickBot="1">
      <c r="A10" s="2591"/>
      <c r="B10" s="2593"/>
      <c r="C10" s="1697"/>
      <c r="D10" s="1697"/>
      <c r="E10" s="1697"/>
      <c r="F10" s="1697"/>
      <c r="G10" s="1698"/>
      <c r="H10" s="1699" t="s">
        <v>1363</v>
      </c>
      <c r="J10" s="1688"/>
      <c r="K10" s="1716" t="s">
        <v>1364</v>
      </c>
      <c r="L10" s="1717" t="s">
        <v>1365</v>
      </c>
      <c r="M10" s="1718"/>
    </row>
    <row r="11" spans="1:13" ht="30" customHeight="1" thickTop="1">
      <c r="A11" s="1700" t="s">
        <v>775</v>
      </c>
      <c r="B11" s="2599" t="s">
        <v>1366</v>
      </c>
      <c r="C11" s="2600"/>
      <c r="D11" s="2600"/>
      <c r="E11" s="2600"/>
      <c r="F11" s="2600"/>
      <c r="G11" s="2601"/>
      <c r="H11" s="1701"/>
      <c r="J11" s="1690"/>
      <c r="K11" s="1719"/>
      <c r="L11" s="1719"/>
      <c r="M11" s="1720"/>
    </row>
    <row r="12" spans="1:13">
      <c r="A12" s="1702" t="s">
        <v>776</v>
      </c>
      <c r="B12" s="1703" t="s">
        <v>1367</v>
      </c>
      <c r="C12" s="1689"/>
      <c r="D12" s="1689"/>
      <c r="E12" s="1689"/>
      <c r="F12" s="1689"/>
      <c r="G12" s="1689"/>
      <c r="H12" s="1704"/>
      <c r="J12" s="1721" t="s">
        <v>1368</v>
      </c>
      <c r="K12" s="1722"/>
      <c r="L12" s="1723" t="s">
        <v>1369</v>
      </c>
      <c r="M12" s="1723" t="s">
        <v>1370</v>
      </c>
    </row>
    <row r="13" spans="1:13">
      <c r="A13" s="1705" t="s">
        <v>1371</v>
      </c>
      <c r="B13" s="1706" t="s">
        <v>1372</v>
      </c>
      <c r="C13" s="1689"/>
      <c r="D13" s="1689"/>
      <c r="E13" s="1689"/>
      <c r="F13" s="1689"/>
      <c r="G13" s="1689"/>
      <c r="H13" s="1704"/>
      <c r="J13" s="1724"/>
      <c r="K13" s="47"/>
      <c r="L13" s="2580" t="s">
        <v>1373</v>
      </c>
      <c r="M13" s="2580" t="s">
        <v>1374</v>
      </c>
    </row>
    <row r="14" spans="1:13">
      <c r="A14" s="1702" t="s">
        <v>1375</v>
      </c>
      <c r="B14" s="2583" t="s">
        <v>1376</v>
      </c>
      <c r="C14" s="2584"/>
      <c r="D14" s="2584"/>
      <c r="E14" s="2584"/>
      <c r="F14" s="2584"/>
      <c r="G14" s="2585"/>
      <c r="H14" s="1704"/>
      <c r="J14" s="1724"/>
      <c r="K14" s="47"/>
      <c r="L14" s="2581"/>
      <c r="M14" s="2581"/>
    </row>
    <row r="15" spans="1:13" ht="51.75" customHeight="1">
      <c r="A15" s="1705" t="s">
        <v>1377</v>
      </c>
      <c r="B15" s="2586" t="s">
        <v>1378</v>
      </c>
      <c r="C15" s="2587"/>
      <c r="D15" s="2587"/>
      <c r="E15" s="2587"/>
      <c r="F15" s="2587"/>
      <c r="G15" s="2588"/>
      <c r="H15" s="1704"/>
      <c r="J15" s="1724"/>
      <c r="L15" s="2582"/>
      <c r="M15" s="2582"/>
    </row>
    <row r="16" spans="1:13" ht="30" customHeight="1" thickBot="1">
      <c r="A16" s="1702" t="s">
        <v>1379</v>
      </c>
      <c r="B16" s="1707" t="s">
        <v>1380</v>
      </c>
      <c r="C16" s="1689"/>
      <c r="D16" s="1689"/>
      <c r="E16" s="1689"/>
      <c r="F16" s="1689"/>
      <c r="G16" s="1689"/>
      <c r="H16" s="1704"/>
      <c r="J16" s="1725"/>
      <c r="K16" s="1698"/>
      <c r="L16" s="1726" t="s">
        <v>1363</v>
      </c>
      <c r="M16" s="1727" t="s">
        <v>1381</v>
      </c>
    </row>
    <row r="17" spans="1:14" ht="30" customHeight="1" thickTop="1">
      <c r="A17" s="1705" t="s">
        <v>1382</v>
      </c>
      <c r="B17" s="1706" t="s">
        <v>1383</v>
      </c>
      <c r="C17" s="1708"/>
      <c r="D17" s="1689"/>
      <c r="E17" s="1689"/>
      <c r="F17" s="1689"/>
      <c r="G17" s="1689"/>
      <c r="H17" s="1704"/>
      <c r="J17" s="1728" t="s">
        <v>775</v>
      </c>
      <c r="K17" s="1729" t="s">
        <v>1384</v>
      </c>
      <c r="L17" s="1709"/>
      <c r="M17" s="1730"/>
    </row>
    <row r="18" spans="1:14" ht="30" customHeight="1">
      <c r="A18" s="1702" t="s">
        <v>1385</v>
      </c>
      <c r="B18" s="1707" t="s">
        <v>1386</v>
      </c>
      <c r="C18" s="1709"/>
      <c r="D18" s="1689"/>
      <c r="E18" s="1689"/>
      <c r="F18" s="1689"/>
      <c r="G18" s="1689"/>
      <c r="H18" s="1704"/>
      <c r="J18" s="1731" t="s">
        <v>776</v>
      </c>
      <c r="K18" s="1717" t="s">
        <v>1387</v>
      </c>
      <c r="L18" s="1732"/>
      <c r="M18" s="1722"/>
    </row>
    <row r="19" spans="1:14" ht="30" customHeight="1">
      <c r="A19" s="1705" t="s">
        <v>1388</v>
      </c>
      <c r="B19" s="1706" t="s">
        <v>1389</v>
      </c>
      <c r="C19" s="1708"/>
      <c r="D19" s="1689"/>
      <c r="E19" s="1689"/>
      <c r="F19" s="1689"/>
      <c r="G19" s="1689"/>
      <c r="H19" s="1704"/>
      <c r="J19" s="1733" t="s">
        <v>1371</v>
      </c>
      <c r="K19" s="1734" t="s">
        <v>1390</v>
      </c>
      <c r="L19" s="1704"/>
      <c r="M19" s="1708"/>
    </row>
    <row r="20" spans="1:14" ht="30" customHeight="1">
      <c r="A20" s="1700">
        <v>10</v>
      </c>
      <c r="B20" s="1707" t="s">
        <v>1391</v>
      </c>
      <c r="C20" s="1709"/>
      <c r="D20" s="1689"/>
      <c r="E20" s="1689"/>
      <c r="F20" s="1689"/>
      <c r="G20" s="1689"/>
      <c r="H20" s="1704"/>
      <c r="J20" s="1733" t="s">
        <v>1375</v>
      </c>
      <c r="K20" s="1734" t="s">
        <v>1392</v>
      </c>
      <c r="L20" s="1704"/>
      <c r="M20" s="1708"/>
    </row>
    <row r="21" spans="1:14" ht="26.25" customHeight="1">
      <c r="A21" s="551"/>
      <c r="B21" s="552"/>
      <c r="N21" s="114"/>
    </row>
  </sheetData>
  <customSheetViews>
    <customSheetView guid="{9C153D9E-615C-443B-9CD7-551163282F03}" scale="160" showPageBreaks="1" printArea="1" view="pageBreakPreview" topLeftCell="C14">
      <selection activeCell="C21" sqref="C21"/>
      <pageMargins left="0" right="0" top="0" bottom="0" header="0" footer="0"/>
      <pageSetup firstPageNumber="50" orientation="landscape" r:id="rId1"/>
      <headerFooter>
        <oddFooter>&amp;C&amp;P</oddFooter>
      </headerFooter>
    </customSheetView>
    <customSheetView guid="{BE9F68F7-D81B-4526-9959-D871EC50BDFF}" scale="160" showPageBreaks="1" printArea="1" view="pageBreakPreview" topLeftCell="C14">
      <selection activeCell="C21" sqref="C21"/>
      <pageMargins left="0" right="0" top="0" bottom="0" header="0" footer="0"/>
      <pageSetup firstPageNumber="50" orientation="landscape" r:id="rId2"/>
      <headerFooter>
        <oddFooter>&amp;C&amp;P</oddFooter>
      </headerFooter>
    </customSheetView>
    <customSheetView guid="{EF790C5B-80DA-4544-9EB7-EFE0323B2298}" scale="160" showPageBreaks="1" printArea="1" view="pageBreakPreview" topLeftCell="D15">
      <selection activeCell="K18" sqref="K18"/>
      <pageMargins left="0" right="0" top="0" bottom="0" header="0" footer="0"/>
      <pageSetup firstPageNumber="50" orientation="landscape" r:id="rId3"/>
      <headerFooter>
        <oddFooter>&amp;C&amp;P</oddFooter>
      </headerFooter>
    </customSheetView>
    <customSheetView guid="{C9D2DBB1-CD01-4732-8C86-64BE16C94753}" scale="120" showPageBreaks="1" printArea="1" view="pageBreakPreview" topLeftCell="A7">
      <pageMargins left="0" right="0" top="0" bottom="0" header="0" footer="0"/>
      <pageSetup firstPageNumber="50" orientation="landscape" r:id="rId4"/>
      <headerFooter>
        <oddFooter>&amp;C&amp;P</oddFooter>
      </headerFooter>
    </customSheetView>
    <customSheetView guid="{BFEC163F-7C4E-49B7-9F32-15225772E72F}" scale="120" showPageBreaks="1" printArea="1" view="pageBreakPreview">
      <selection activeCell="A2" sqref="A2"/>
      <pageMargins left="0" right="0" top="0" bottom="0" header="0" footer="0"/>
      <pageSetup firstPageNumber="50" orientation="landscape" r:id="rId5"/>
      <headerFooter>
        <oddFooter>&amp;C&amp;P</oddFooter>
      </headerFooter>
    </customSheetView>
    <customSheetView guid="{5529DB6B-163A-4048-9107-267B30B97DF3}" scale="120" showPageBreaks="1" printArea="1" view="pageBreakPreview">
      <selection activeCell="A2" sqref="A2"/>
      <pageMargins left="0" right="0" top="0" bottom="0" header="0" footer="0"/>
      <pageSetup firstPageNumber="50" orientation="landscape" r:id="rId6"/>
      <headerFooter>
        <oddFooter>&amp;C&amp;P</oddFooter>
      </headerFooter>
    </customSheetView>
    <customSheetView guid="{9B0763AA-FA4B-479A-900C-C113E8BEEFEB}" scale="120" showPageBreaks="1" printArea="1" view="pageBreakPreview">
      <selection activeCell="A2" sqref="A2"/>
      <pageMargins left="0" right="0" top="0" bottom="0" header="0" footer="0"/>
      <pageSetup firstPageNumber="50" orientation="landscape" r:id="rId7"/>
      <headerFooter>
        <oddFooter>&amp;C&amp;P</oddFooter>
      </headerFooter>
    </customSheetView>
    <customSheetView guid="{89903799-8228-4A6D-8A81-7F80BC61226D}" scale="160" showPageBreaks="1" printArea="1" view="pageBreakPreview" topLeftCell="D16">
      <selection activeCell="L10" sqref="L10"/>
      <pageMargins left="0" right="0" top="0" bottom="0" header="0" footer="0"/>
      <pageSetup firstPageNumber="50" orientation="landscape" r:id="rId8"/>
      <headerFooter>
        <oddFooter>&amp;C&amp;P</oddFooter>
      </headerFooter>
    </customSheetView>
    <customSheetView guid="{2524630E-605A-4616-AD5D-6CF7B1E9752C}" scale="160" showPageBreaks="1" printArea="1" view="pageBreakPreview" topLeftCell="D15">
      <selection activeCell="K18" sqref="K18"/>
      <pageMargins left="0" right="0" top="0" bottom="0" header="0" footer="0"/>
      <pageSetup firstPageNumber="50" orientation="landscape" r:id="rId9"/>
      <headerFooter>
        <oddFooter>&amp;C&amp;P</oddFooter>
      </headerFooter>
    </customSheetView>
  </customSheetViews>
  <mergeCells count="9">
    <mergeCell ref="L13:L15"/>
    <mergeCell ref="M13:M15"/>
    <mergeCell ref="B14:G14"/>
    <mergeCell ref="B15:G15"/>
    <mergeCell ref="A7:A10"/>
    <mergeCell ref="B8:B10"/>
    <mergeCell ref="H8:H9"/>
    <mergeCell ref="J8:M8"/>
    <mergeCell ref="B11:G11"/>
  </mergeCells>
  <pageMargins left="0.314" right="0.314" top="0.11799999999999999" bottom="0.27500000000000002" header="0.157" footer="0.11799999999999999"/>
  <pageSetup firstPageNumber="50" orientation="landscape" r:id="rId10"/>
  <headerFooter>
    <oddFooter>&amp;C&amp;P</oddFooter>
  </headerFooter>
  <drawing r:id="rId1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27"/>
  <sheetViews>
    <sheetView view="pageBreakPreview" topLeftCell="A19" zoomScale="150" zoomScaleNormal="100" zoomScaleSheetLayoutView="150" workbookViewId="0">
      <selection activeCell="D20" sqref="D20"/>
    </sheetView>
  </sheetViews>
  <sheetFormatPr defaultColWidth="9.140625" defaultRowHeight="13.5"/>
  <cols>
    <col min="1" max="1" width="5.42578125" style="86" customWidth="1"/>
    <col min="2" max="2" width="24.7109375" style="86" customWidth="1"/>
    <col min="3" max="3" width="9.85546875" style="86" customWidth="1"/>
    <col min="4" max="4" width="17.7109375" style="86" customWidth="1"/>
    <col min="5" max="5" width="20" style="86" customWidth="1"/>
    <col min="6" max="6" width="23" style="86" customWidth="1"/>
    <col min="7" max="7" width="20.5703125" style="86" customWidth="1"/>
    <col min="8" max="8" width="17.28515625" style="86" customWidth="1"/>
    <col min="9" max="16384" width="9.140625" style="271"/>
  </cols>
  <sheetData>
    <row r="1" spans="1:8">
      <c r="A1" s="527" t="s">
        <v>1393</v>
      </c>
    </row>
    <row r="2" spans="1:8" ht="20.25">
      <c r="A2" s="120" t="s">
        <v>1394</v>
      </c>
      <c r="C2" s="553"/>
      <c r="D2" s="553"/>
      <c r="E2" s="554"/>
      <c r="F2" s="554"/>
      <c r="H2" s="553"/>
    </row>
    <row r="3" spans="1:8" ht="20.25">
      <c r="A3" s="538" t="s">
        <v>1395</v>
      </c>
      <c r="B3" s="135" t="s">
        <v>1396</v>
      </c>
      <c r="C3" s="553"/>
      <c r="D3" s="553"/>
      <c r="E3" s="554"/>
      <c r="F3" s="554"/>
      <c r="H3" s="553"/>
    </row>
    <row r="4" spans="1:8" ht="15.75">
      <c r="A4" s="271"/>
      <c r="B4" s="554"/>
      <c r="C4" s="555"/>
      <c r="D4" s="555"/>
      <c r="E4" s="555"/>
      <c r="F4" s="555"/>
      <c r="G4" s="556"/>
      <c r="H4" s="271"/>
    </row>
    <row r="5" spans="1:8">
      <c r="A5" s="557" t="s">
        <v>1397</v>
      </c>
      <c r="B5" s="558"/>
      <c r="C5" s="557" t="s">
        <v>1398</v>
      </c>
      <c r="D5" s="559" t="s">
        <v>1399</v>
      </c>
      <c r="E5" s="557" t="s">
        <v>1400</v>
      </c>
      <c r="F5" s="557" t="s">
        <v>1401</v>
      </c>
      <c r="G5" s="557" t="s">
        <v>1402</v>
      </c>
      <c r="H5" s="557" t="s">
        <v>1403</v>
      </c>
    </row>
    <row r="6" spans="1:8" ht="12.75" customHeight="1">
      <c r="A6" s="2609" t="s">
        <v>1404</v>
      </c>
      <c r="B6" s="2605" t="s">
        <v>1405</v>
      </c>
      <c r="C6" s="2606"/>
      <c r="D6" s="2603" t="s">
        <v>1406</v>
      </c>
      <c r="E6" s="2603" t="s">
        <v>1407</v>
      </c>
      <c r="F6" s="2603" t="s">
        <v>1408</v>
      </c>
      <c r="G6" s="2603" t="s">
        <v>1409</v>
      </c>
      <c r="H6" s="2603" t="s">
        <v>1410</v>
      </c>
    </row>
    <row r="7" spans="1:8" ht="12.75" customHeight="1">
      <c r="A7" s="2610"/>
      <c r="B7" s="2604"/>
      <c r="C7" s="2342"/>
      <c r="D7" s="2191"/>
      <c r="E7" s="2191"/>
      <c r="F7" s="2191"/>
      <c r="G7" s="2191"/>
      <c r="H7" s="2191"/>
    </row>
    <row r="8" spans="1:8" ht="17.25" customHeight="1">
      <c r="A8" s="2610"/>
      <c r="B8" s="2607"/>
      <c r="C8" s="2608"/>
      <c r="D8" s="2222"/>
      <c r="E8" s="2222"/>
      <c r="F8" s="2222"/>
      <c r="G8" s="2222"/>
      <c r="H8" s="2222"/>
    </row>
    <row r="9" spans="1:8" ht="17.25" customHeight="1">
      <c r="A9" s="2610"/>
      <c r="B9" s="2604" t="s">
        <v>1411</v>
      </c>
      <c r="C9" s="2342"/>
      <c r="D9" s="117"/>
      <c r="E9" s="122"/>
      <c r="F9" s="122"/>
      <c r="G9" s="122"/>
      <c r="H9" s="122"/>
    </row>
    <row r="10" spans="1:8" ht="17.25" customHeight="1">
      <c r="A10" s="2610"/>
      <c r="B10" s="2604" t="s">
        <v>1412</v>
      </c>
      <c r="C10" s="2342"/>
      <c r="D10" s="117"/>
      <c r="E10" s="122"/>
      <c r="F10" s="122"/>
      <c r="G10" s="122"/>
      <c r="H10" s="122"/>
    </row>
    <row r="11" spans="1:8" ht="12.75">
      <c r="A11" s="2610"/>
      <c r="B11" s="2612" t="s">
        <v>1413</v>
      </c>
      <c r="C11" s="2613"/>
      <c r="D11" s="2321" t="s">
        <v>607</v>
      </c>
      <c r="E11" s="2327" t="s">
        <v>607</v>
      </c>
      <c r="F11" s="2327" t="s">
        <v>607</v>
      </c>
      <c r="G11" s="2327" t="s">
        <v>607</v>
      </c>
      <c r="H11" s="2327" t="s">
        <v>607</v>
      </c>
    </row>
    <row r="12" spans="1:8" ht="12.75">
      <c r="A12" s="2610"/>
      <c r="B12" s="2612"/>
      <c r="C12" s="2613"/>
      <c r="D12" s="2321"/>
      <c r="E12" s="2327"/>
      <c r="F12" s="2327"/>
      <c r="G12" s="2327"/>
      <c r="H12" s="2327"/>
    </row>
    <row r="13" spans="1:8" ht="12.75">
      <c r="A13" s="2610"/>
      <c r="B13" s="2612"/>
      <c r="C13" s="2613"/>
      <c r="D13" s="2321"/>
      <c r="E13" s="2327"/>
      <c r="F13" s="2327"/>
      <c r="G13" s="2327"/>
      <c r="H13" s="2327"/>
    </row>
    <row r="14" spans="1:8" ht="15" customHeight="1" thickBot="1">
      <c r="A14" s="2611"/>
      <c r="B14" s="2614"/>
      <c r="C14" s="2615"/>
      <c r="D14" s="2616"/>
      <c r="E14" s="2602"/>
      <c r="F14" s="2602"/>
      <c r="G14" s="2602"/>
      <c r="H14" s="2602"/>
    </row>
    <row r="15" spans="1:8" ht="20.100000000000001" customHeight="1" thickTop="1">
      <c r="A15" s="560" t="s">
        <v>775</v>
      </c>
      <c r="B15" s="561" t="s">
        <v>1414</v>
      </c>
      <c r="C15" s="562"/>
      <c r="D15" s="563"/>
      <c r="E15" s="564"/>
      <c r="F15" s="564"/>
      <c r="G15" s="564"/>
      <c r="H15" s="564"/>
    </row>
    <row r="16" spans="1:8" ht="20.100000000000001" customHeight="1">
      <c r="A16" s="565" t="s">
        <v>776</v>
      </c>
      <c r="B16" s="561" t="s">
        <v>1415</v>
      </c>
      <c r="C16" s="566"/>
      <c r="D16" s="563"/>
      <c r="E16" s="564"/>
      <c r="F16" s="564"/>
      <c r="G16" s="564"/>
      <c r="H16" s="564"/>
    </row>
    <row r="17" spans="1:8" ht="20.100000000000001" customHeight="1">
      <c r="A17" s="560" t="s">
        <v>1371</v>
      </c>
      <c r="B17" s="561" t="s">
        <v>1416</v>
      </c>
      <c r="C17" s="566"/>
      <c r="D17" s="563"/>
      <c r="E17" s="564"/>
      <c r="F17" s="564"/>
      <c r="G17" s="564"/>
      <c r="H17" s="564"/>
    </row>
    <row r="18" spans="1:8" ht="20.100000000000001" customHeight="1">
      <c r="A18" s="565" t="s">
        <v>1375</v>
      </c>
      <c r="B18" s="567" t="s">
        <v>1417</v>
      </c>
      <c r="C18" s="566"/>
      <c r="D18" s="568"/>
      <c r="E18" s="569"/>
      <c r="F18" s="569"/>
      <c r="G18" s="569"/>
      <c r="H18" s="569"/>
    </row>
    <row r="19" spans="1:8" ht="20.100000000000001" customHeight="1">
      <c r="A19" s="560" t="s">
        <v>1377</v>
      </c>
      <c r="B19" s="567" t="s">
        <v>1418</v>
      </c>
      <c r="C19" s="566"/>
      <c r="D19" s="568"/>
      <c r="E19" s="569"/>
      <c r="F19" s="569"/>
      <c r="G19" s="569"/>
      <c r="H19" s="569"/>
    </row>
    <row r="20" spans="1:8" ht="20.100000000000001" customHeight="1">
      <c r="A20" s="565" t="s">
        <v>1379</v>
      </c>
      <c r="B20" s="567" t="s">
        <v>1419</v>
      </c>
      <c r="C20" s="566"/>
      <c r="D20" s="568"/>
      <c r="E20" s="569"/>
      <c r="F20" s="569"/>
      <c r="G20" s="569"/>
      <c r="H20" s="569"/>
    </row>
    <row r="21" spans="1:8" ht="20.100000000000001" customHeight="1">
      <c r="A21" s="560" t="s">
        <v>1382</v>
      </c>
      <c r="B21" s="567" t="s">
        <v>1420</v>
      </c>
      <c r="C21" s="566"/>
      <c r="D21" s="568"/>
      <c r="E21" s="569"/>
      <c r="F21" s="569"/>
      <c r="G21" s="569"/>
      <c r="H21" s="569"/>
    </row>
    <row r="22" spans="1:8" ht="20.100000000000001" customHeight="1">
      <c r="A22" s="565" t="s">
        <v>1385</v>
      </c>
      <c r="B22" s="567" t="s">
        <v>1421</v>
      </c>
      <c r="C22" s="566"/>
      <c r="D22" s="568"/>
      <c r="E22" s="569"/>
      <c r="F22" s="569"/>
      <c r="G22" s="569"/>
      <c r="H22" s="569"/>
    </row>
    <row r="23" spans="1:8" ht="20.100000000000001" customHeight="1">
      <c r="A23" s="560" t="s">
        <v>1388</v>
      </c>
      <c r="B23" s="567" t="s">
        <v>1422</v>
      </c>
      <c r="C23" s="566"/>
      <c r="D23" s="568"/>
      <c r="E23" s="569"/>
      <c r="F23" s="569"/>
      <c r="G23" s="569"/>
      <c r="H23" s="569"/>
    </row>
    <row r="24" spans="1:8" ht="20.100000000000001" customHeight="1">
      <c r="A24" s="565" t="s">
        <v>1423</v>
      </c>
      <c r="B24" s="567" t="s">
        <v>1424</v>
      </c>
      <c r="C24" s="566"/>
      <c r="D24" s="568"/>
      <c r="E24" s="569"/>
      <c r="F24" s="569"/>
      <c r="G24" s="569"/>
      <c r="H24" s="569"/>
    </row>
    <row r="25" spans="1:8" ht="20.100000000000001" customHeight="1">
      <c r="A25" s="565" t="s">
        <v>1425</v>
      </c>
      <c r="B25" s="567" t="s">
        <v>1426</v>
      </c>
      <c r="C25" s="566"/>
      <c r="D25" s="568"/>
      <c r="E25" s="569"/>
      <c r="F25" s="569"/>
      <c r="G25" s="569"/>
      <c r="H25" s="569"/>
    </row>
    <row r="26" spans="1:8" ht="20.100000000000001" customHeight="1">
      <c r="A26" s="565" t="s">
        <v>1427</v>
      </c>
      <c r="B26" s="567" t="s">
        <v>1428</v>
      </c>
      <c r="C26" s="566"/>
      <c r="D26" s="568"/>
      <c r="E26" s="569"/>
      <c r="F26" s="569"/>
      <c r="G26" s="569"/>
      <c r="H26" s="569"/>
    </row>
    <row r="27" spans="1:8" ht="20.100000000000001" customHeight="1">
      <c r="A27" s="560">
        <v>13</v>
      </c>
      <c r="B27" s="567" t="s">
        <v>1429</v>
      </c>
      <c r="C27" s="566"/>
      <c r="D27" s="568"/>
      <c r="E27" s="569"/>
      <c r="F27" s="569"/>
      <c r="G27" s="569"/>
      <c r="H27" s="569"/>
    </row>
  </sheetData>
  <customSheetViews>
    <customSheetView guid="{9C153D9E-615C-443B-9CD7-551163282F03}" scale="150" showPageBreaks="1" view="pageBreakPreview" topLeftCell="A7">
      <selection activeCell="B28" sqref="B28"/>
      <rowBreaks count="1" manualBreakCount="1">
        <brk id="40" max="16383" man="1"/>
      </rowBreaks>
      <pageMargins left="0" right="0" top="0" bottom="0" header="0" footer="0"/>
      <pageSetup firstPageNumber="57" orientation="landscape" r:id="rId1"/>
      <headerFooter>
        <oddFooter>&amp;C&amp;P</oddFooter>
      </headerFooter>
    </customSheetView>
    <customSheetView guid="{BE9F68F7-D81B-4526-9959-D871EC50BDFF}" scale="150" showPageBreaks="1" view="pageBreakPreview" topLeftCell="A7">
      <selection activeCell="B28" sqref="B28"/>
      <rowBreaks count="1" manualBreakCount="1">
        <brk id="40" max="16383" man="1"/>
      </rowBreaks>
      <pageMargins left="0" right="0" top="0" bottom="0" header="0" footer="0"/>
      <pageSetup firstPageNumber="57" orientation="landscape" r:id="rId2"/>
      <headerFooter>
        <oddFooter>&amp;C&amp;P</oddFooter>
      </headerFooter>
    </customSheetView>
    <customSheetView guid="{EF790C5B-80DA-4544-9EB7-EFE0323B2298}" scale="150" showPageBreaks="1" view="pageBreakPreview">
      <selection activeCell="B20" sqref="B20"/>
      <rowBreaks count="1" manualBreakCount="1">
        <brk id="40" max="16383" man="1"/>
      </rowBreaks>
      <pageMargins left="0" right="0" top="0" bottom="0" header="0" footer="0"/>
      <pageSetup firstPageNumber="57" orientation="landscape" r:id="rId3"/>
      <headerFooter>
        <oddFooter>&amp;C&amp;P</oddFooter>
      </headerFooter>
    </customSheetView>
    <customSheetView guid="{C9D2DBB1-CD01-4732-8C86-64BE16C94753}" scale="90" showPageBreaks="1" view="pageBreakPreview">
      <rowBreaks count="1" manualBreakCount="1">
        <brk id="39" max="16383" man="1"/>
      </rowBreaks>
      <pageMargins left="0" right="0" top="0" bottom="0" header="0" footer="0"/>
      <pageSetup firstPageNumber="57" orientation="landscape" r:id="rId4"/>
      <headerFooter>
        <oddFooter>&amp;C&amp;P</oddFooter>
      </headerFooter>
    </customSheetView>
    <customSheetView guid="{BFEC163F-7C4E-49B7-9F32-15225772E72F}" scale="90" showPageBreaks="1" view="pageBreakPreview">
      <selection activeCell="A2" sqref="A2"/>
      <rowBreaks count="1" manualBreakCount="1">
        <brk id="39" max="16383" man="1"/>
      </rowBreaks>
      <pageMargins left="0" right="0" top="0" bottom="0" header="0" footer="0"/>
      <pageSetup firstPageNumber="57" orientation="landscape" r:id="rId5"/>
      <headerFooter>
        <oddFooter>&amp;C&amp;P</oddFooter>
      </headerFooter>
    </customSheetView>
    <customSheetView guid="{5529DB6B-163A-4048-9107-267B30B97DF3}" scale="90" showPageBreaks="1" view="pageBreakPreview">
      <selection activeCell="A2" sqref="A2"/>
      <rowBreaks count="1" manualBreakCount="1">
        <brk id="39" max="16383" man="1"/>
      </rowBreaks>
      <pageMargins left="0" right="0" top="0" bottom="0" header="0" footer="0"/>
      <pageSetup firstPageNumber="57" orientation="landscape" r:id="rId6"/>
      <headerFooter>
        <oddFooter>&amp;C&amp;P</oddFooter>
      </headerFooter>
    </customSheetView>
    <customSheetView guid="{9B0763AA-FA4B-479A-900C-C113E8BEEFEB}" scale="110" showPageBreaks="1" view="pageBreakPreview" topLeftCell="A16">
      <selection activeCell="B28" sqref="B28"/>
      <rowBreaks count="1" manualBreakCount="1">
        <brk id="41" max="16383" man="1"/>
      </rowBreaks>
      <pageMargins left="0" right="0" top="0" bottom="0" header="0" footer="0"/>
      <pageSetup firstPageNumber="57" orientation="landscape" r:id="rId7"/>
      <headerFooter>
        <oddFooter>&amp;C&amp;P</oddFooter>
      </headerFooter>
    </customSheetView>
    <customSheetView guid="{89903799-8228-4A6D-8A81-7F80BC61226D}" scale="150" showPageBreaks="1" view="pageBreakPreview" topLeftCell="C1">
      <selection activeCell="B28" sqref="B28"/>
      <rowBreaks count="1" manualBreakCount="1">
        <brk id="40" max="16383" man="1"/>
      </rowBreaks>
      <pageMargins left="0" right="0" top="0" bottom="0" header="0" footer="0"/>
      <pageSetup firstPageNumber="57" orientation="landscape" r:id="rId8"/>
      <headerFooter>
        <oddFooter>&amp;C&amp;P</oddFooter>
      </headerFooter>
    </customSheetView>
    <customSheetView guid="{2524630E-605A-4616-AD5D-6CF7B1E9752C}" scale="150" showPageBreaks="1" view="pageBreakPreview">
      <selection activeCell="B20" sqref="B20"/>
      <rowBreaks count="1" manualBreakCount="1">
        <brk id="40" max="16383" man="1"/>
      </rowBreaks>
      <pageMargins left="0" right="0" top="0" bottom="0" header="0" footer="0"/>
      <pageSetup firstPageNumber="57" orientation="landscape" r:id="rId9"/>
      <headerFooter>
        <oddFooter>&amp;C&amp;P</oddFooter>
      </headerFooter>
    </customSheetView>
  </customSheetViews>
  <mergeCells count="15">
    <mergeCell ref="B9:C9"/>
    <mergeCell ref="B10:C10"/>
    <mergeCell ref="B6:C8"/>
    <mergeCell ref="D6:D8"/>
    <mergeCell ref="A6:A14"/>
    <mergeCell ref="B11:C14"/>
    <mergeCell ref="D11:D14"/>
    <mergeCell ref="G11:G14"/>
    <mergeCell ref="H11:H14"/>
    <mergeCell ref="E11:E14"/>
    <mergeCell ref="G6:G8"/>
    <mergeCell ref="H6:H8"/>
    <mergeCell ref="E6:E8"/>
    <mergeCell ref="F6:F8"/>
    <mergeCell ref="F11:F14"/>
  </mergeCells>
  <pageMargins left="0.314" right="0.314" top="0.11799999999999999" bottom="0.27500000000000002" header="0.157" footer="0.11799999999999999"/>
  <pageSetup scale="97" firstPageNumber="57" orientation="landscape" r:id="rId10"/>
  <headerFooter>
    <oddFooter>&amp;C&amp;P</oddFooter>
  </headerFooter>
  <drawing r:id="rId1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E33"/>
  <sheetViews>
    <sheetView view="pageBreakPreview" topLeftCell="A7" zoomScale="200" zoomScaleNormal="130" zoomScaleSheetLayoutView="200" zoomScalePageLayoutView="110" workbookViewId="0">
      <selection activeCell="B14" sqref="B14"/>
    </sheetView>
  </sheetViews>
  <sheetFormatPr defaultColWidth="9.140625" defaultRowHeight="12.75"/>
  <cols>
    <col min="1" max="1" width="8.5703125" style="271" customWidth="1"/>
    <col min="2" max="2" width="71.140625" style="271" customWidth="1"/>
    <col min="3" max="3" width="22.5703125" style="271" customWidth="1"/>
    <col min="4" max="4" width="33.140625" style="271" customWidth="1"/>
    <col min="5" max="16384" width="9.140625" style="271"/>
  </cols>
  <sheetData>
    <row r="1" spans="1:5">
      <c r="A1" s="570" t="s">
        <v>1430</v>
      </c>
      <c r="B1" s="534"/>
      <c r="C1" s="534"/>
      <c r="D1" s="534"/>
    </row>
    <row r="2" spans="1:5">
      <c r="A2" s="120" t="s">
        <v>1431</v>
      </c>
      <c r="B2" s="534"/>
      <c r="C2" s="534"/>
      <c r="D2" s="534"/>
    </row>
    <row r="3" spans="1:5">
      <c r="A3" s="120"/>
      <c r="B3" s="534"/>
      <c r="C3" s="534"/>
      <c r="D3" s="534"/>
    </row>
    <row r="4" spans="1:5">
      <c r="C4" s="135"/>
      <c r="D4" s="135"/>
    </row>
    <row r="5" spans="1:5" ht="13.5">
      <c r="A5" s="538"/>
      <c r="B5" s="135"/>
      <c r="C5" s="571"/>
      <c r="D5" s="135"/>
    </row>
    <row r="6" spans="1:5" ht="13.5">
      <c r="A6" s="540" t="s">
        <v>1432</v>
      </c>
      <c r="B6" s="580"/>
      <c r="C6" s="572" t="s">
        <v>1433</v>
      </c>
      <c r="D6" s="572" t="s">
        <v>1434</v>
      </c>
    </row>
    <row r="7" spans="1:5" ht="12.75" customHeight="1">
      <c r="A7" s="2617" t="s">
        <v>1435</v>
      </c>
      <c r="B7" s="2621" t="s">
        <v>1436</v>
      </c>
      <c r="C7" s="2603" t="s">
        <v>1437</v>
      </c>
      <c r="D7" s="2603" t="s">
        <v>1438</v>
      </c>
    </row>
    <row r="8" spans="1:5" ht="12.75" customHeight="1">
      <c r="A8" s="2618"/>
      <c r="B8" s="2622"/>
      <c r="C8" s="2625"/>
      <c r="D8" s="2625"/>
    </row>
    <row r="9" spans="1:5" ht="12.75" customHeight="1">
      <c r="A9" s="2618"/>
      <c r="B9" s="2622"/>
      <c r="C9" s="2626"/>
      <c r="D9" s="2626"/>
    </row>
    <row r="10" spans="1:5" ht="13.5">
      <c r="A10" s="2618"/>
      <c r="B10" s="2622"/>
      <c r="C10" s="153" t="s">
        <v>109</v>
      </c>
      <c r="D10" s="2627" t="s">
        <v>1439</v>
      </c>
    </row>
    <row r="11" spans="1:5" ht="13.5">
      <c r="A11" s="2619"/>
      <c r="B11" s="2623"/>
      <c r="C11" s="573" t="s">
        <v>1440</v>
      </c>
      <c r="D11" s="2321"/>
    </row>
    <row r="12" spans="1:5" ht="14.25" thickBot="1">
      <c r="A12" s="2620"/>
      <c r="B12" s="2624"/>
      <c r="C12" s="574" t="s">
        <v>420</v>
      </c>
      <c r="D12" s="2628"/>
    </row>
    <row r="13" spans="1:5" ht="24.95" customHeight="1" thickTop="1">
      <c r="A13" s="575">
        <v>201</v>
      </c>
      <c r="B13" s="103" t="s">
        <v>1441</v>
      </c>
      <c r="C13" s="576"/>
      <c r="D13" s="581"/>
    </row>
    <row r="14" spans="1:5" ht="24.95" customHeight="1">
      <c r="A14" s="575">
        <f>A13+1</f>
        <v>202</v>
      </c>
      <c r="B14" s="110" t="s">
        <v>1442</v>
      </c>
      <c r="C14" s="577"/>
      <c r="D14" s="36"/>
      <c r="E14" s="582"/>
    </row>
    <row r="15" spans="1:5" ht="24.95" customHeight="1">
      <c r="A15" s="575">
        <f t="shared" ref="A15:A29" si="0">A14+1</f>
        <v>203</v>
      </c>
      <c r="B15" s="110" t="s">
        <v>1443</v>
      </c>
      <c r="C15" s="577"/>
      <c r="D15" s="36"/>
    </row>
    <row r="16" spans="1:5" ht="24.95" customHeight="1">
      <c r="A16" s="575">
        <f t="shared" si="0"/>
        <v>204</v>
      </c>
      <c r="B16" s="110" t="s">
        <v>1444</v>
      </c>
      <c r="C16" s="577"/>
      <c r="D16" s="36"/>
    </row>
    <row r="17" spans="1:5" ht="24.95" customHeight="1">
      <c r="A17" s="575">
        <f t="shared" si="0"/>
        <v>205</v>
      </c>
      <c r="B17" s="110" t="s">
        <v>1445</v>
      </c>
      <c r="C17" s="577"/>
      <c r="D17" s="36"/>
    </row>
    <row r="18" spans="1:5" ht="24.95" customHeight="1">
      <c r="A18" s="575">
        <f t="shared" si="0"/>
        <v>206</v>
      </c>
      <c r="B18" s="110" t="s">
        <v>1446</v>
      </c>
      <c r="C18" s="577"/>
      <c r="D18" s="36"/>
      <c r="E18" s="582"/>
    </row>
    <row r="19" spans="1:5" ht="24.95" customHeight="1">
      <c r="A19" s="575">
        <f t="shared" si="0"/>
        <v>207</v>
      </c>
      <c r="B19" s="110" t="s">
        <v>1447</v>
      </c>
      <c r="C19" s="36"/>
      <c r="D19" s="578"/>
      <c r="E19" s="582"/>
    </row>
    <row r="20" spans="1:5" ht="24.95" customHeight="1">
      <c r="A20" s="575">
        <f t="shared" si="0"/>
        <v>208</v>
      </c>
      <c r="B20" s="110" t="s">
        <v>1448</v>
      </c>
      <c r="C20" s="577"/>
      <c r="D20" s="36"/>
      <c r="E20" s="582"/>
    </row>
    <row r="21" spans="1:5" ht="24.95" customHeight="1">
      <c r="A21" s="575">
        <f t="shared" si="0"/>
        <v>209</v>
      </c>
      <c r="B21" s="110" t="s">
        <v>1449</v>
      </c>
      <c r="C21" s="577"/>
      <c r="D21" s="36"/>
      <c r="E21" s="582"/>
    </row>
    <row r="22" spans="1:5" ht="24.95" customHeight="1">
      <c r="A22" s="575">
        <f t="shared" si="0"/>
        <v>210</v>
      </c>
      <c r="B22" s="110" t="s">
        <v>1450</v>
      </c>
      <c r="C22" s="577"/>
      <c r="D22" s="36"/>
      <c r="E22" s="582"/>
    </row>
    <row r="23" spans="1:5" ht="24.95" customHeight="1">
      <c r="A23" s="575">
        <f>A22+1</f>
        <v>211</v>
      </c>
      <c r="B23" s="110" t="s">
        <v>1451</v>
      </c>
      <c r="C23" s="577"/>
      <c r="D23" s="36"/>
      <c r="E23" s="582"/>
    </row>
    <row r="24" spans="1:5" ht="24.95" customHeight="1">
      <c r="A24" s="575">
        <f t="shared" si="0"/>
        <v>212</v>
      </c>
      <c r="B24" s="110" t="s">
        <v>1452</v>
      </c>
      <c r="C24" s="577"/>
      <c r="D24" s="36"/>
      <c r="E24" s="582"/>
    </row>
    <row r="25" spans="1:5" ht="24.95" customHeight="1">
      <c r="A25" s="575">
        <f t="shared" si="0"/>
        <v>213</v>
      </c>
      <c r="B25" s="110" t="s">
        <v>1453</v>
      </c>
      <c r="C25" s="577"/>
      <c r="D25" s="36"/>
      <c r="E25" s="582"/>
    </row>
    <row r="26" spans="1:5" ht="24.95" customHeight="1">
      <c r="A26" s="575">
        <f t="shared" si="0"/>
        <v>214</v>
      </c>
      <c r="B26" s="110" t="s">
        <v>1454</v>
      </c>
      <c r="C26" s="577"/>
      <c r="D26" s="36"/>
      <c r="E26" s="582"/>
    </row>
    <row r="27" spans="1:5" ht="24.95" customHeight="1">
      <c r="A27" s="575">
        <f t="shared" si="0"/>
        <v>215</v>
      </c>
      <c r="B27" s="110" t="s">
        <v>1455</v>
      </c>
      <c r="C27" s="577"/>
      <c r="D27" s="36"/>
      <c r="E27" s="582"/>
    </row>
    <row r="28" spans="1:5" ht="24.95" customHeight="1">
      <c r="A28" s="575">
        <f t="shared" si="0"/>
        <v>216</v>
      </c>
      <c r="B28" s="104" t="s">
        <v>1456</v>
      </c>
      <c r="C28" s="579"/>
      <c r="D28" s="583"/>
    </row>
    <row r="29" spans="1:5" ht="24.95" customHeight="1">
      <c r="A29" s="575">
        <f t="shared" si="0"/>
        <v>217</v>
      </c>
      <c r="B29" s="111" t="s">
        <v>1457</v>
      </c>
      <c r="C29" s="584"/>
      <c r="D29" s="36"/>
      <c r="E29" s="582"/>
    </row>
    <row r="30" spans="1:5" ht="13.5">
      <c r="B30" s="208"/>
    </row>
    <row r="31" spans="1:5" ht="13.5">
      <c r="B31" s="208"/>
    </row>
    <row r="32" spans="1:5" ht="13.5">
      <c r="B32" s="208"/>
    </row>
    <row r="33" spans="2:2" ht="13.5">
      <c r="B33" s="208"/>
    </row>
  </sheetData>
  <customSheetViews>
    <customSheetView guid="{9C153D9E-615C-443B-9CD7-551163282F03}" scale="180" showPageBreaks="1" printArea="1" view="pageBreakPreview" topLeftCell="A22">
      <selection activeCell="B24" sqref="B24"/>
      <pageMargins left="0" right="0" top="0" bottom="0" header="0" footer="0"/>
      <pageSetup scale="99" firstPageNumber="51" orientation="landscape" r:id="rId1"/>
      <headerFooter>
        <oddFooter>&amp;C&amp;P</oddFooter>
      </headerFooter>
    </customSheetView>
    <customSheetView guid="{BE9F68F7-D81B-4526-9959-D871EC50BDFF}" scale="180" showPageBreaks="1" printArea="1" view="pageBreakPreview" topLeftCell="A22">
      <selection activeCell="B24" sqref="B24"/>
      <pageMargins left="0" right="0" top="0" bottom="0" header="0" footer="0"/>
      <pageSetup scale="99" firstPageNumber="51" orientation="landscape" r:id="rId2"/>
      <headerFooter>
        <oddFooter>&amp;C&amp;P</oddFooter>
      </headerFooter>
    </customSheetView>
    <customSheetView guid="{EF790C5B-80DA-4544-9EB7-EFE0323B2298}" scale="154" showPageBreaks="1" printArea="1" view="pageBreakPreview" topLeftCell="A15">
      <selection activeCell="C20" sqref="C20"/>
      <pageMargins left="0" right="0" top="0" bottom="0" header="0" footer="0"/>
      <pageSetup scale="99" firstPageNumber="51" orientation="landscape" r:id="rId3"/>
      <headerFooter>
        <oddFooter>&amp;C&amp;P</oddFooter>
      </headerFooter>
    </customSheetView>
    <customSheetView guid="{C9D2DBB1-CD01-4732-8C86-64BE16C94753}" scale="90" showPageBreaks="1" printArea="1" view="pageBreakPreview">
      <pageMargins left="0" right="0" top="0" bottom="0" header="0" footer="0"/>
      <pageSetup scale="99" firstPageNumber="51" orientation="landscape" r:id="rId4"/>
      <headerFooter>
        <oddFooter>&amp;C&amp;P</oddFooter>
      </headerFooter>
    </customSheetView>
    <customSheetView guid="{BFEC163F-7C4E-49B7-9F32-15225772E72F}" scale="90" showPageBreaks="1" printArea="1" view="pageBreakPreview">
      <selection activeCell="A2" sqref="A2"/>
      <pageMargins left="0" right="0" top="0" bottom="0" header="0" footer="0"/>
      <pageSetup scale="99" firstPageNumber="51" orientation="landscape" r:id="rId5"/>
      <headerFooter>
        <oddFooter>&amp;C&amp;P</oddFooter>
      </headerFooter>
    </customSheetView>
    <customSheetView guid="{5529DB6B-163A-4048-9107-267B30B97DF3}" scale="90" showPageBreaks="1" printArea="1" view="pageBreakPreview">
      <selection activeCell="A2" sqref="A2"/>
      <pageMargins left="0" right="0" top="0" bottom="0" header="0" footer="0"/>
      <pageSetup scale="99" firstPageNumber="51" orientation="landscape" r:id="rId6"/>
      <headerFooter>
        <oddFooter>&amp;C&amp;P</oddFooter>
      </headerFooter>
    </customSheetView>
    <customSheetView guid="{9B0763AA-FA4B-479A-900C-C113E8BEEFEB}" scale="90" showPageBreaks="1" printArea="1" view="pageBreakPreview">
      <selection activeCell="A2" sqref="A2"/>
      <pageMargins left="0" right="0" top="0" bottom="0" header="0" footer="0"/>
      <pageSetup scale="99" firstPageNumber="51" orientation="landscape" r:id="rId7"/>
      <headerFooter>
        <oddFooter>&amp;C&amp;P</oddFooter>
      </headerFooter>
    </customSheetView>
    <customSheetView guid="{89903799-8228-4A6D-8A81-7F80BC61226D}" scale="180" showPageBreaks="1" printArea="1" view="pageBreakPreview" topLeftCell="B1">
      <selection activeCell="B18" sqref="B18"/>
      <pageMargins left="0" right="0" top="0" bottom="0" header="0" footer="0"/>
      <pageSetup scale="99" firstPageNumber="51" orientation="landscape" r:id="rId8"/>
      <headerFooter>
        <oddFooter>&amp;C&amp;P</oddFooter>
      </headerFooter>
    </customSheetView>
    <customSheetView guid="{2524630E-605A-4616-AD5D-6CF7B1E9752C}" scale="154" showPageBreaks="1" printArea="1" view="pageBreakPreview" topLeftCell="A15">
      <selection activeCell="C20" sqref="C20"/>
      <pageMargins left="0" right="0" top="0" bottom="0" header="0" footer="0"/>
      <pageSetup scale="99" firstPageNumber="51" orientation="landscape" r:id="rId9"/>
      <headerFooter>
        <oddFooter>&amp;C&amp;P</oddFooter>
      </headerFooter>
    </customSheetView>
  </customSheetViews>
  <mergeCells count="5">
    <mergeCell ref="A7:A12"/>
    <mergeCell ref="B7:B12"/>
    <mergeCell ref="C7:C9"/>
    <mergeCell ref="D7:D9"/>
    <mergeCell ref="D10:D12"/>
  </mergeCells>
  <pageMargins left="0.314" right="0.314" top="0.11799999999999999" bottom="0.27500000000000002" header="0.157" footer="0.11799999999999999"/>
  <pageSetup scale="99" firstPageNumber="51" orientation="landscape" r:id="rId10"/>
  <headerFooter>
    <oddFooter>&amp;C&amp;P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E49"/>
  <sheetViews>
    <sheetView view="pageBreakPreview" topLeftCell="A7" zoomScale="180" zoomScaleNormal="80" zoomScaleSheetLayoutView="180" workbookViewId="0">
      <selection activeCell="B27" sqref="B27"/>
    </sheetView>
  </sheetViews>
  <sheetFormatPr defaultColWidth="9.140625" defaultRowHeight="12.75"/>
  <cols>
    <col min="1" max="1" width="8.5703125" style="271" customWidth="1"/>
    <col min="2" max="2" width="84" style="271" customWidth="1"/>
    <col min="3" max="4" width="20.42578125" style="271" customWidth="1"/>
    <col min="5" max="16384" width="9.140625" style="271"/>
  </cols>
  <sheetData>
    <row r="1" spans="1:5">
      <c r="A1" s="570" t="s">
        <v>1430</v>
      </c>
      <c r="B1" s="534"/>
      <c r="C1" s="534"/>
      <c r="D1" s="534"/>
    </row>
    <row r="2" spans="1:5">
      <c r="A2" s="120" t="s">
        <v>1458</v>
      </c>
      <c r="C2" s="534"/>
      <c r="D2" s="534"/>
    </row>
    <row r="3" spans="1:5" ht="15.75" customHeight="1">
      <c r="A3" s="120"/>
      <c r="C3" s="534"/>
      <c r="D3" s="534"/>
    </row>
    <row r="4" spans="1:5" ht="13.5">
      <c r="A4" s="540" t="s">
        <v>1459</v>
      </c>
      <c r="B4" s="580"/>
      <c r="C4" s="572" t="s">
        <v>1460</v>
      </c>
      <c r="D4" s="572" t="s">
        <v>1461</v>
      </c>
    </row>
    <row r="5" spans="1:5">
      <c r="A5" s="2617" t="s">
        <v>1435</v>
      </c>
      <c r="B5" s="2630" t="s">
        <v>1436</v>
      </c>
      <c r="C5" s="2603" t="s">
        <v>1462</v>
      </c>
      <c r="D5" s="2603" t="s">
        <v>1463</v>
      </c>
    </row>
    <row r="6" spans="1:5">
      <c r="A6" s="2618"/>
      <c r="B6" s="2426"/>
      <c r="C6" s="2625"/>
      <c r="D6" s="2625"/>
    </row>
    <row r="7" spans="1:5">
      <c r="A7" s="2618"/>
      <c r="B7" s="2426"/>
      <c r="C7" s="2626"/>
      <c r="D7" s="2626"/>
    </row>
    <row r="8" spans="1:5" ht="13.5">
      <c r="A8" s="2618"/>
      <c r="B8" s="2426"/>
      <c r="C8" s="153" t="s">
        <v>109</v>
      </c>
      <c r="D8" s="2321" t="s">
        <v>1439</v>
      </c>
    </row>
    <row r="9" spans="1:5">
      <c r="A9" s="2618"/>
      <c r="B9" s="2426"/>
      <c r="C9" s="2196" t="s">
        <v>1440</v>
      </c>
      <c r="D9" s="2632"/>
    </row>
    <row r="10" spans="1:5">
      <c r="A10" s="2618"/>
      <c r="B10" s="2426"/>
      <c r="C10" s="2633"/>
      <c r="D10" s="2632"/>
    </row>
    <row r="11" spans="1:5" ht="14.25" thickBot="1">
      <c r="A11" s="2629"/>
      <c r="B11" s="2631"/>
      <c r="C11" s="585" t="s">
        <v>420</v>
      </c>
      <c r="D11" s="2628"/>
    </row>
    <row r="12" spans="1:5" s="363" customFormat="1" ht="18.95" customHeight="1" thickTop="1">
      <c r="A12" s="586">
        <v>301</v>
      </c>
      <c r="B12" s="105" t="s">
        <v>1464</v>
      </c>
      <c r="C12" s="587"/>
      <c r="D12" s="588"/>
      <c r="E12" s="582"/>
    </row>
    <row r="13" spans="1:5" s="363" customFormat="1" ht="18.95" customHeight="1">
      <c r="A13" s="586">
        <f>A12+1</f>
        <v>302</v>
      </c>
      <c r="B13" s="589" t="s">
        <v>1465</v>
      </c>
      <c r="C13" s="590"/>
      <c r="D13" s="583"/>
      <c r="E13" s="582"/>
    </row>
    <row r="14" spans="1:5" s="363" customFormat="1" ht="18.95" customHeight="1">
      <c r="A14" s="586">
        <f t="shared" ref="A14:A35" si="0">A13+1</f>
        <v>303</v>
      </c>
      <c r="B14" s="106" t="s">
        <v>1466</v>
      </c>
      <c r="C14" s="590"/>
      <c r="D14" s="583"/>
      <c r="E14" s="582"/>
    </row>
    <row r="15" spans="1:5" s="363" customFormat="1" ht="18.95" customHeight="1">
      <c r="A15" s="586">
        <f t="shared" si="0"/>
        <v>304</v>
      </c>
      <c r="B15" s="102" t="s">
        <v>1467</v>
      </c>
      <c r="C15" s="111"/>
      <c r="D15" s="111"/>
      <c r="E15" s="582"/>
    </row>
    <row r="16" spans="1:5" s="363" customFormat="1" ht="18.95" customHeight="1">
      <c r="A16" s="586">
        <f t="shared" si="0"/>
        <v>305</v>
      </c>
      <c r="B16" s="591" t="s">
        <v>1468</v>
      </c>
      <c r="C16" s="111"/>
      <c r="D16" s="111"/>
      <c r="E16" s="582"/>
    </row>
    <row r="17" spans="1:5" s="363" customFormat="1" ht="18.95" customHeight="1">
      <c r="A17" s="586">
        <f t="shared" si="0"/>
        <v>306</v>
      </c>
      <c r="B17" s="107" t="s">
        <v>1469</v>
      </c>
      <c r="C17" s="111"/>
      <c r="D17" s="111"/>
      <c r="E17" s="582"/>
    </row>
    <row r="18" spans="1:5" s="363" customFormat="1" ht="18.95" customHeight="1">
      <c r="A18" s="586">
        <f t="shared" si="0"/>
        <v>307</v>
      </c>
      <c r="B18" s="107" t="s">
        <v>1470</v>
      </c>
      <c r="C18" s="111"/>
      <c r="D18" s="111"/>
      <c r="E18" s="582"/>
    </row>
    <row r="19" spans="1:5" s="363" customFormat="1" ht="18.95" customHeight="1">
      <c r="A19" s="586">
        <f t="shared" si="0"/>
        <v>308</v>
      </c>
      <c r="B19" s="107" t="s">
        <v>1471</v>
      </c>
      <c r="C19" s="111"/>
      <c r="D19" s="111"/>
      <c r="E19" s="582"/>
    </row>
    <row r="20" spans="1:5" s="363" customFormat="1" ht="18.95" customHeight="1">
      <c r="A20" s="586">
        <f t="shared" si="0"/>
        <v>309</v>
      </c>
      <c r="B20" s="121" t="s">
        <v>1472</v>
      </c>
      <c r="C20" s="111"/>
      <c r="D20" s="111"/>
      <c r="E20" s="582"/>
    </row>
    <row r="21" spans="1:5" s="363" customFormat="1" ht="18.95" customHeight="1">
      <c r="A21" s="586">
        <f t="shared" si="0"/>
        <v>310</v>
      </c>
      <c r="B21" s="107" t="s">
        <v>1473</v>
      </c>
      <c r="C21" s="111"/>
      <c r="D21" s="111"/>
      <c r="E21" s="582"/>
    </row>
    <row r="22" spans="1:5" s="363" customFormat="1" ht="18.95" customHeight="1">
      <c r="A22" s="586">
        <f t="shared" si="0"/>
        <v>311</v>
      </c>
      <c r="B22" s="108" t="s">
        <v>1474</v>
      </c>
      <c r="C22" s="111"/>
      <c r="D22" s="111"/>
      <c r="E22" s="582"/>
    </row>
    <row r="23" spans="1:5" s="363" customFormat="1" ht="18.95" customHeight="1">
      <c r="A23" s="586">
        <f t="shared" si="0"/>
        <v>312</v>
      </c>
      <c r="B23" s="108" t="s">
        <v>1475</v>
      </c>
      <c r="C23" s="111"/>
      <c r="D23" s="111"/>
      <c r="E23" s="582"/>
    </row>
    <row r="24" spans="1:5" s="363" customFormat="1" ht="18.95" customHeight="1">
      <c r="A24" s="586">
        <f t="shared" si="0"/>
        <v>313</v>
      </c>
      <c r="B24" s="107" t="s">
        <v>1476</v>
      </c>
      <c r="C24" s="111"/>
      <c r="D24" s="111"/>
      <c r="E24" s="582"/>
    </row>
    <row r="25" spans="1:5" s="363" customFormat="1" ht="18.95" customHeight="1">
      <c r="A25" s="586">
        <f t="shared" si="0"/>
        <v>314</v>
      </c>
      <c r="B25" s="108" t="s">
        <v>1477</v>
      </c>
      <c r="C25" s="111"/>
      <c r="D25" s="111"/>
      <c r="E25" s="582"/>
    </row>
    <row r="26" spans="1:5" s="363" customFormat="1" ht="18.95" customHeight="1">
      <c r="A26" s="586">
        <f t="shared" si="0"/>
        <v>315</v>
      </c>
      <c r="B26" s="107" t="s">
        <v>1478</v>
      </c>
      <c r="C26" s="111"/>
      <c r="D26" s="111"/>
      <c r="E26" s="582"/>
    </row>
    <row r="27" spans="1:5" s="363" customFormat="1" ht="18.95" customHeight="1">
      <c r="A27" s="586">
        <f t="shared" si="0"/>
        <v>316</v>
      </c>
      <c r="B27" s="107" t="s">
        <v>1479</v>
      </c>
      <c r="C27" s="111"/>
      <c r="D27" s="111"/>
      <c r="E27" s="582"/>
    </row>
    <row r="28" spans="1:5" s="363" customFormat="1" ht="18.95" customHeight="1">
      <c r="A28" s="586">
        <f t="shared" si="0"/>
        <v>317</v>
      </c>
      <c r="B28" s="107" t="s">
        <v>1480</v>
      </c>
      <c r="C28" s="111"/>
      <c r="D28" s="111"/>
      <c r="E28" s="582"/>
    </row>
    <row r="29" spans="1:5" s="363" customFormat="1" ht="18.95" customHeight="1">
      <c r="A29" s="586">
        <f t="shared" si="0"/>
        <v>318</v>
      </c>
      <c r="B29" s="107" t="s">
        <v>1481</v>
      </c>
      <c r="C29" s="111"/>
      <c r="D29" s="111"/>
      <c r="E29" s="582"/>
    </row>
    <row r="30" spans="1:5" s="363" customFormat="1" ht="18.95" customHeight="1">
      <c r="A30" s="586">
        <f t="shared" si="0"/>
        <v>319</v>
      </c>
      <c r="B30" s="107" t="s">
        <v>1482</v>
      </c>
      <c r="C30" s="111"/>
      <c r="D30" s="111"/>
      <c r="E30" s="582"/>
    </row>
    <row r="31" spans="1:5" s="363" customFormat="1" ht="18.95" customHeight="1">
      <c r="A31" s="586">
        <f t="shared" si="0"/>
        <v>320</v>
      </c>
      <c r="B31" s="104" t="s">
        <v>1483</v>
      </c>
      <c r="C31" s="111"/>
      <c r="D31" s="111"/>
      <c r="E31" s="582"/>
    </row>
    <row r="32" spans="1:5" s="363" customFormat="1" ht="18.95" customHeight="1">
      <c r="A32" s="586">
        <f t="shared" si="0"/>
        <v>321</v>
      </c>
      <c r="B32" s="104" t="s">
        <v>1484</v>
      </c>
      <c r="C32" s="111"/>
      <c r="D32" s="111"/>
      <c r="E32" s="582"/>
    </row>
    <row r="33" spans="1:5" s="363" customFormat="1" ht="18.95" customHeight="1">
      <c r="A33" s="586">
        <f t="shared" si="0"/>
        <v>322</v>
      </c>
      <c r="B33" s="104" t="s">
        <v>1485</v>
      </c>
      <c r="C33" s="111"/>
      <c r="D33" s="111"/>
      <c r="E33" s="582"/>
    </row>
    <row r="34" spans="1:5" s="363" customFormat="1" ht="18.95" customHeight="1">
      <c r="A34" s="586">
        <f t="shared" si="0"/>
        <v>323</v>
      </c>
      <c r="B34" s="104" t="s">
        <v>1486</v>
      </c>
      <c r="C34" s="111"/>
      <c r="D34" s="111"/>
      <c r="E34" s="582"/>
    </row>
    <row r="35" spans="1:5" s="363" customFormat="1" ht="18.95" customHeight="1">
      <c r="A35" s="586">
        <f t="shared" si="0"/>
        <v>324</v>
      </c>
      <c r="B35" s="104" t="s">
        <v>1487</v>
      </c>
      <c r="C35" s="111"/>
      <c r="D35" s="111"/>
      <c r="E35" s="582"/>
    </row>
    <row r="36" spans="1:5" ht="18.95" customHeight="1">
      <c r="A36" s="24"/>
      <c r="B36" s="24"/>
      <c r="C36" s="24"/>
      <c r="D36" s="24"/>
    </row>
    <row r="37" spans="1:5" ht="13.5">
      <c r="A37" s="24"/>
      <c r="B37" s="24"/>
      <c r="C37" s="24"/>
      <c r="D37" s="24"/>
    </row>
    <row r="38" spans="1:5" ht="13.5">
      <c r="A38" s="24"/>
      <c r="B38" s="24"/>
      <c r="C38" s="24"/>
      <c r="D38" s="24"/>
    </row>
    <row r="39" spans="1:5" ht="13.5">
      <c r="A39" s="24"/>
      <c r="B39" s="24"/>
      <c r="C39" s="24"/>
      <c r="D39" s="24"/>
    </row>
    <row r="40" spans="1:5" ht="13.5">
      <c r="A40" s="24"/>
      <c r="B40" s="24"/>
      <c r="C40" s="24"/>
      <c r="D40" s="24"/>
    </row>
    <row r="41" spans="1:5" ht="13.5">
      <c r="A41" s="24"/>
      <c r="B41" s="24"/>
      <c r="C41" s="24"/>
      <c r="D41" s="24"/>
    </row>
    <row r="42" spans="1:5" ht="13.5">
      <c r="A42" s="24"/>
      <c r="B42" s="24"/>
      <c r="C42" s="24"/>
      <c r="D42" s="24"/>
    </row>
    <row r="43" spans="1:5" ht="13.5">
      <c r="A43" s="24"/>
      <c r="B43" s="24"/>
      <c r="C43" s="24"/>
      <c r="D43" s="24"/>
    </row>
    <row r="49" spans="1:4" ht="15.75">
      <c r="A49" s="22"/>
      <c r="B49" s="22"/>
      <c r="C49" s="22"/>
      <c r="D49" s="22"/>
    </row>
  </sheetData>
  <customSheetViews>
    <customSheetView guid="{9C153D9E-615C-443B-9CD7-551163282F03}" scale="160" showPageBreaks="1" printArea="1" view="pageBreakPreview" topLeftCell="A6">
      <selection activeCell="B27" sqref="B27"/>
      <pageMargins left="0" right="0" top="0" bottom="0" header="0" footer="0"/>
      <pageSetup firstPageNumber="52" orientation="landscape" r:id="rId1"/>
      <headerFooter>
        <oddFooter>&amp;C&amp;P</oddFooter>
      </headerFooter>
    </customSheetView>
    <customSheetView guid="{BE9F68F7-D81B-4526-9959-D871EC50BDFF}" scale="160" showPageBreaks="1" printArea="1" view="pageBreakPreview" topLeftCell="A6">
      <selection activeCell="B27" sqref="B27"/>
      <pageMargins left="0" right="0" top="0" bottom="0" header="0" footer="0"/>
      <pageSetup firstPageNumber="52" orientation="landscape" r:id="rId2"/>
      <headerFooter>
        <oddFooter>&amp;C&amp;P</oddFooter>
      </headerFooter>
    </customSheetView>
    <customSheetView guid="{EF790C5B-80DA-4544-9EB7-EFE0323B2298}" scale="160" showPageBreaks="1" printArea="1" view="pageBreakPreview">
      <selection activeCell="B5" sqref="B5:B11"/>
      <pageMargins left="0" right="0" top="0" bottom="0" header="0" footer="0"/>
      <pageSetup firstPageNumber="52" orientation="landscape" r:id="rId3"/>
      <headerFooter>
        <oddFooter>&amp;C&amp;P</oddFooter>
      </headerFooter>
    </customSheetView>
    <customSheetView guid="{C9D2DBB1-CD01-4732-8C86-64BE16C94753}" scale="90" showPageBreaks="1" printArea="1" view="pageBreakPreview">
      <pageMargins left="0" right="0" top="0" bottom="0" header="0" footer="0"/>
      <pageSetup firstPageNumber="52" orientation="landscape" r:id="rId4"/>
      <headerFooter>
        <oddFooter>&amp;C&amp;P</oddFooter>
      </headerFooter>
    </customSheetView>
    <customSheetView guid="{BFEC163F-7C4E-49B7-9F32-15225772E72F}" scale="90" showPageBreaks="1" printArea="1" view="pageBreakPreview" topLeftCell="A13">
      <selection activeCell="B3" sqref="B3"/>
      <pageMargins left="0" right="0" top="0" bottom="0" header="0" footer="0"/>
      <pageSetup firstPageNumber="52" orientation="landscape" r:id="rId5"/>
      <headerFooter>
        <oddFooter>&amp;C&amp;P</oddFooter>
      </headerFooter>
    </customSheetView>
    <customSheetView guid="{5529DB6B-163A-4048-9107-267B30B97DF3}" scale="90" showPageBreaks="1" printArea="1" view="pageBreakPreview">
      <selection activeCell="B3" sqref="B3"/>
      <pageMargins left="0" right="0" top="0" bottom="0" header="0" footer="0"/>
      <pageSetup firstPageNumber="52" orientation="landscape" r:id="rId6"/>
      <headerFooter>
        <oddFooter>&amp;C&amp;P</oddFooter>
      </headerFooter>
    </customSheetView>
    <customSheetView guid="{9B0763AA-FA4B-479A-900C-C113E8BEEFEB}" scale="90" showPageBreaks="1" printArea="1" view="pageBreakPreview">
      <selection activeCell="B3" sqref="B3"/>
      <pageMargins left="0" right="0" top="0" bottom="0" header="0" footer="0"/>
      <pageSetup firstPageNumber="52" orientation="landscape" r:id="rId7"/>
      <headerFooter>
        <oddFooter>&amp;C&amp;P</oddFooter>
      </headerFooter>
    </customSheetView>
    <customSheetView guid="{89903799-8228-4A6D-8A81-7F80BC61226D}" scale="160" showPageBreaks="1" printArea="1" view="pageBreakPreview">
      <selection activeCell="B27" sqref="B27"/>
      <pageMargins left="0" right="0" top="0" bottom="0" header="0" footer="0"/>
      <pageSetup firstPageNumber="52" orientation="landscape" r:id="rId8"/>
      <headerFooter>
        <oddFooter>&amp;C&amp;P</oddFooter>
      </headerFooter>
    </customSheetView>
    <customSheetView guid="{2524630E-605A-4616-AD5D-6CF7B1E9752C}" scale="160" showPageBreaks="1" printArea="1" view="pageBreakPreview">
      <selection activeCell="B5" sqref="B5:B11"/>
      <pageMargins left="0" right="0" top="0" bottom="0" header="0" footer="0"/>
      <pageSetup firstPageNumber="52" orientation="landscape" r:id="rId9"/>
      <headerFooter>
        <oddFooter>&amp;C&amp;P</oddFooter>
      </headerFooter>
    </customSheetView>
  </customSheetViews>
  <mergeCells count="6">
    <mergeCell ref="A5:A11"/>
    <mergeCell ref="B5:B11"/>
    <mergeCell ref="C5:C7"/>
    <mergeCell ref="D5:D7"/>
    <mergeCell ref="D8:D11"/>
    <mergeCell ref="C9:C10"/>
  </mergeCells>
  <pageMargins left="0.314" right="0.314" top="0.11799999999999999" bottom="0.27500000000000002" header="0.157" footer="0.11799999999999999"/>
  <pageSetup scale="99" firstPageNumber="52" orientation="landscape" r:id="rId10"/>
  <headerFooter>
    <oddFooter>&amp;C&amp;P</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
  <sheetViews>
    <sheetView workbookViewId="0">
      <selection activeCell="F25" sqref="F25"/>
    </sheetView>
  </sheetViews>
  <sheetFormatPr defaultColWidth="9.140625" defaultRowHeight="12.75"/>
  <sheetData/>
  <customSheetViews>
    <customSheetView guid="{9C153D9E-615C-443B-9CD7-551163282F03}" state="hidden">
      <selection activeCell="F25" sqref="F25"/>
      <pageMargins left="0" right="0" top="0" bottom="0" header="0" footer="0"/>
    </customSheetView>
    <customSheetView guid="{BE9F68F7-D81B-4526-9959-D871EC50BDFF}" state="hidden">
      <selection activeCell="F25" sqref="F25"/>
      <pageMargins left="0" right="0" top="0" bottom="0" header="0" footer="0"/>
    </customSheetView>
    <customSheetView guid="{EF790C5B-80DA-4544-9EB7-EFE0323B2298}" state="hidden">
      <selection activeCell="F25" sqref="F25"/>
      <pageMargins left="0" right="0" top="0" bottom="0" header="0" footer="0"/>
    </customSheetView>
    <customSheetView guid="{2524630E-605A-4616-AD5D-6CF7B1E9752C}" state="hidden">
      <selection activeCell="F25" sqref="F25"/>
      <pageMargins left="0" right="0" top="0" bottom="0" header="0" footer="0"/>
    </customSheetView>
  </customSheetView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
  <sheetViews>
    <sheetView workbookViewId="0">
      <selection activeCell="K21" sqref="K21"/>
    </sheetView>
  </sheetViews>
  <sheetFormatPr defaultColWidth="9.140625" defaultRowHeight="12.75"/>
  <sheetData/>
  <customSheetViews>
    <customSheetView guid="{9C153D9E-615C-443B-9CD7-551163282F03}" state="hidden">
      <selection activeCell="K21" sqref="K21"/>
      <pageMargins left="0" right="0" top="0" bottom="0" header="0" footer="0"/>
    </customSheetView>
    <customSheetView guid="{BE9F68F7-D81B-4526-9959-D871EC50BDFF}" state="hidden">
      <selection activeCell="K21" sqref="K21"/>
      <pageMargins left="0" right="0" top="0" bottom="0" header="0" footer="0"/>
    </customSheetView>
    <customSheetView guid="{EF790C5B-80DA-4544-9EB7-EFE0323B2298}" state="hidden">
      <selection activeCell="K21" sqref="K21"/>
      <pageMargins left="0" right="0" top="0" bottom="0" header="0" footer="0"/>
    </customSheetView>
    <customSheetView guid="{2524630E-605A-4616-AD5D-6CF7B1E9752C}" state="hidden">
      <selection activeCell="K21" sqref="K21"/>
      <pageMargins left="0" right="0" top="0" bottom="0" header="0" footer="0"/>
    </customSheetView>
  </customSheetView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
  <sheetViews>
    <sheetView workbookViewId="0"/>
  </sheetViews>
  <sheetFormatPr defaultColWidth="9.140625" defaultRowHeight="12.75"/>
  <sheetData/>
  <customSheetViews>
    <customSheetView guid="{9C153D9E-615C-443B-9CD7-551163282F03}" state="hidden">
      <pageMargins left="0" right="0" top="0" bottom="0" header="0" footer="0"/>
    </customSheetView>
    <customSheetView guid="{BE9F68F7-D81B-4526-9959-D871EC50BDFF}" state="hidden">
      <pageMargins left="0" right="0" top="0" bottom="0" header="0" footer="0"/>
    </customSheetView>
    <customSheetView guid="{EF790C5B-80DA-4544-9EB7-EFE0323B2298}" state="hidden">
      <pageMargins left="0" right="0" top="0" bottom="0" header="0" footer="0"/>
    </customSheetView>
    <customSheetView guid="{2524630E-605A-4616-AD5D-6CF7B1E9752C}" state="hidden">
      <pageMargins left="0" right="0" top="0" bottom="0" header="0" footer="0"/>
    </customSheetView>
  </customSheetView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
  <sheetViews>
    <sheetView workbookViewId="0"/>
  </sheetViews>
  <sheetFormatPr defaultColWidth="9.140625" defaultRowHeight="12.75"/>
  <sheetData/>
  <customSheetViews>
    <customSheetView guid="{9C153D9E-615C-443B-9CD7-551163282F03}" state="hidden">
      <pageMargins left="0" right="0" top="0" bottom="0" header="0" footer="0"/>
    </customSheetView>
    <customSheetView guid="{BE9F68F7-D81B-4526-9959-D871EC50BDFF}" state="hidden">
      <pageMargins left="0" right="0" top="0" bottom="0" header="0" footer="0"/>
    </customSheetView>
    <customSheetView guid="{EF790C5B-80DA-4544-9EB7-EFE0323B2298}" state="hidden">
      <pageMargins left="0" right="0" top="0" bottom="0" header="0" footer="0"/>
    </customSheetView>
    <customSheetView guid="{2524630E-605A-4616-AD5D-6CF7B1E9752C}" state="hidden">
      <pageMargins left="0" right="0" top="0" bottom="0" header="0" footer="0"/>
    </customSheetView>
  </customSheetView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
  <sheetViews>
    <sheetView workbookViewId="0"/>
  </sheetViews>
  <sheetFormatPr defaultColWidth="9.140625" defaultRowHeight="12.75"/>
  <sheetData/>
  <customSheetViews>
    <customSheetView guid="{9C153D9E-615C-443B-9CD7-551163282F03}" state="hidden">
      <pageMargins left="0" right="0" top="0" bottom="0" header="0" footer="0"/>
    </customSheetView>
    <customSheetView guid="{BE9F68F7-D81B-4526-9959-D871EC50BDFF}" state="hidden">
      <pageMargins left="0" right="0" top="0" bottom="0" header="0" footer="0"/>
    </customSheetView>
    <customSheetView guid="{EF790C5B-80DA-4544-9EB7-EFE0323B2298}" state="hidden">
      <pageMargins left="0" right="0" top="0" bottom="0" header="0" footer="0"/>
    </customSheetView>
    <customSheetView guid="{2524630E-605A-4616-AD5D-6CF7B1E9752C}" state="hidden">
      <pageMargins left="0" right="0" top="0" bottom="0" header="0" footer="0"/>
    </customSheetView>
  </customSheetView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
  <sheetViews>
    <sheetView workbookViewId="0"/>
  </sheetViews>
  <sheetFormatPr defaultColWidth="9.140625" defaultRowHeight="12.75"/>
  <sheetData/>
  <customSheetViews>
    <customSheetView guid="{9C153D9E-615C-443B-9CD7-551163282F03}" state="hidden">
      <pageMargins left="0" right="0" top="0" bottom="0" header="0" footer="0"/>
    </customSheetView>
    <customSheetView guid="{BE9F68F7-D81B-4526-9959-D871EC50BDFF}" state="hidden">
      <pageMargins left="0" right="0" top="0" bottom="0" header="0" footer="0"/>
    </customSheetView>
    <customSheetView guid="{EF790C5B-80DA-4544-9EB7-EFE0323B2298}" state="hidden">
      <pageMargins left="0" right="0" top="0" bottom="0" header="0" footer="0"/>
    </customSheetView>
    <customSheetView guid="{2524630E-605A-4616-AD5D-6CF7B1E9752C}" state="hidden">
      <pageMargins left="0" right="0" top="0" bottom="0" header="0" footer="0"/>
    </customSheetView>
  </customSheetView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
  <sheetViews>
    <sheetView workbookViewId="0"/>
  </sheetViews>
  <sheetFormatPr defaultColWidth="9.140625" defaultRowHeight="12.75"/>
  <sheetData/>
  <customSheetViews>
    <customSheetView guid="{9C153D9E-615C-443B-9CD7-551163282F03}" state="hidden">
      <pageMargins left="0" right="0" top="0" bottom="0" header="0" footer="0"/>
    </customSheetView>
    <customSheetView guid="{BE9F68F7-D81B-4526-9959-D871EC50BDFF}" state="hidden">
      <pageMargins left="0" right="0" top="0" bottom="0" header="0" footer="0"/>
    </customSheetView>
    <customSheetView guid="{EF790C5B-80DA-4544-9EB7-EFE0323B2298}" state="hidden">
      <pageMargins left="0" right="0" top="0" bottom="0" header="0" footer="0"/>
    </customSheetView>
    <customSheetView guid="{2524630E-605A-4616-AD5D-6CF7B1E9752C}" state="hidden">
      <pageMargins left="0" right="0" top="0" bottom="0" header="0" footer="0"/>
    </customSheetView>
  </customSheetView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
  <sheetViews>
    <sheetView workbookViewId="0"/>
  </sheetViews>
  <sheetFormatPr defaultColWidth="9.140625" defaultRowHeight="12.75"/>
  <sheetData/>
  <customSheetViews>
    <customSheetView guid="{9C153D9E-615C-443B-9CD7-551163282F03}" state="hidden">
      <pageMargins left="0" right="0" top="0" bottom="0" header="0" footer="0"/>
    </customSheetView>
    <customSheetView guid="{BE9F68F7-D81B-4526-9959-D871EC50BDFF}" state="hidden">
      <pageMargins left="0" right="0" top="0" bottom="0" header="0" footer="0"/>
    </customSheetView>
    <customSheetView guid="{EF790C5B-80DA-4544-9EB7-EFE0323B2298}" state="hidden">
      <pageMargins left="0" right="0" top="0" bottom="0" header="0" footer="0"/>
    </customSheetView>
    <customSheetView guid="{2524630E-605A-4616-AD5D-6CF7B1E9752C}" state="hidden">
      <pageMargins left="0" right="0" top="0" bottom="0" header="0" footer="0"/>
    </customSheetView>
  </customSheetView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
  <sheetViews>
    <sheetView workbookViewId="0"/>
  </sheetViews>
  <sheetFormatPr defaultColWidth="9.140625" defaultRowHeight="12.75"/>
  <sheetData/>
  <customSheetViews>
    <customSheetView guid="{9C153D9E-615C-443B-9CD7-551163282F03}" state="hidden">
      <pageMargins left="0" right="0" top="0" bottom="0" header="0" footer="0"/>
    </customSheetView>
    <customSheetView guid="{BE9F68F7-D81B-4526-9959-D871EC50BDFF}" state="hidden">
      <pageMargins left="0" right="0" top="0" bottom="0" header="0" footer="0"/>
    </customSheetView>
    <customSheetView guid="{EF790C5B-80DA-4544-9EB7-EFE0323B2298}" state="hidden">
      <pageMargins left="0" right="0" top="0" bottom="0" header="0" footer="0"/>
    </customSheetView>
    <customSheetView guid="{2524630E-605A-4616-AD5D-6CF7B1E9752C}" state="hidden">
      <pageMargins left="0" right="0" top="0" bottom="0" header="0" footer="0"/>
    </customSheetView>
  </customSheetView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
  <sheetViews>
    <sheetView workbookViewId="0"/>
  </sheetViews>
  <sheetFormatPr defaultColWidth="9.140625" defaultRowHeight="12.75"/>
  <sheetData/>
  <customSheetViews>
    <customSheetView guid="{9C153D9E-615C-443B-9CD7-551163282F03}" state="hidden">
      <pageMargins left="0" right="0" top="0" bottom="0" header="0" footer="0"/>
    </customSheetView>
    <customSheetView guid="{BE9F68F7-D81B-4526-9959-D871EC50BDFF}" state="hidden">
      <pageMargins left="0" right="0" top="0" bottom="0" header="0" footer="0"/>
    </customSheetView>
    <customSheetView guid="{EF790C5B-80DA-4544-9EB7-EFE0323B2298}" state="hidden">
      <pageMargins left="0" right="0" top="0" bottom="0" header="0" footer="0"/>
    </customSheetView>
    <customSheetView guid="{2524630E-605A-4616-AD5D-6CF7B1E9752C}" state="hidden">
      <pageMargins left="0" right="0" top="0" bottom="0" header="0" footer="0"/>
    </customSheetView>
  </customSheetViews>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
  <sheetViews>
    <sheetView workbookViewId="0"/>
  </sheetViews>
  <sheetFormatPr defaultColWidth="9.140625" defaultRowHeight="12.75"/>
  <sheetData/>
  <customSheetViews>
    <customSheetView guid="{9C153D9E-615C-443B-9CD7-551163282F03}" state="hidden">
      <pageMargins left="0" right="0" top="0" bottom="0" header="0" footer="0"/>
    </customSheetView>
    <customSheetView guid="{BE9F68F7-D81B-4526-9959-D871EC50BDFF}" state="hidden">
      <pageMargins left="0" right="0" top="0" bottom="0" header="0" footer="0"/>
    </customSheetView>
    <customSheetView guid="{EF790C5B-80DA-4544-9EB7-EFE0323B2298}" state="hidden">
      <pageMargins left="0" right="0" top="0" bottom="0" header="0" footer="0"/>
    </customSheetView>
    <customSheetView guid="{2524630E-605A-4616-AD5D-6CF7B1E9752C}" state="hidden">
      <pageMargins left="0" right="0" top="0" bottom="0" header="0" footer="0"/>
    </customSheetView>
  </customSheetView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
  <sheetViews>
    <sheetView workbookViewId="0"/>
  </sheetViews>
  <sheetFormatPr defaultColWidth="9.140625" defaultRowHeight="12.75"/>
  <sheetData/>
  <customSheetViews>
    <customSheetView guid="{9C153D9E-615C-443B-9CD7-551163282F03}" state="hidden">
      <pageMargins left="0" right="0" top="0" bottom="0" header="0" footer="0"/>
    </customSheetView>
    <customSheetView guid="{BE9F68F7-D81B-4526-9959-D871EC50BDFF}" state="hidden">
      <pageMargins left="0" right="0" top="0" bottom="0" header="0" footer="0"/>
    </customSheetView>
    <customSheetView guid="{EF790C5B-80DA-4544-9EB7-EFE0323B2298}" state="hidden">
      <pageMargins left="0" right="0" top="0" bottom="0" header="0" footer="0"/>
    </customSheetView>
    <customSheetView guid="{2524630E-605A-4616-AD5D-6CF7B1E9752C}" state="hidden">
      <pageMargins left="0" right="0" top="0" bottom="0" header="0" footer="0"/>
    </customSheetView>
  </customSheetView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E41"/>
  <sheetViews>
    <sheetView view="pageBreakPreview" topLeftCell="A10" zoomScale="205" zoomScaleNormal="90" zoomScaleSheetLayoutView="205" zoomScalePageLayoutView="70" workbookViewId="0">
      <selection activeCell="B12" sqref="B12"/>
    </sheetView>
  </sheetViews>
  <sheetFormatPr defaultColWidth="9.140625" defaultRowHeight="12.75"/>
  <cols>
    <col min="1" max="1" width="7.140625" style="271" customWidth="1"/>
    <col min="2" max="2" width="81.7109375" style="271" customWidth="1"/>
    <col min="3" max="3" width="20.42578125" style="271" customWidth="1"/>
    <col min="4" max="4" width="23.140625" style="271" customWidth="1"/>
    <col min="5" max="16384" width="9.140625" style="271"/>
  </cols>
  <sheetData>
    <row r="1" spans="1:5">
      <c r="A1" s="570" t="s">
        <v>1430</v>
      </c>
      <c r="B1" s="534"/>
      <c r="C1" s="534"/>
      <c r="D1" s="534"/>
    </row>
    <row r="2" spans="1:5">
      <c r="A2" s="120" t="s">
        <v>1488</v>
      </c>
      <c r="C2" s="534"/>
      <c r="D2" s="534"/>
    </row>
    <row r="3" spans="1:5">
      <c r="A3" s="120"/>
      <c r="C3" s="534"/>
      <c r="D3" s="534"/>
    </row>
    <row r="4" spans="1:5" ht="13.5">
      <c r="A4" s="540" t="s">
        <v>1489</v>
      </c>
      <c r="B4" s="580"/>
      <c r="C4" s="572" t="s">
        <v>1490</v>
      </c>
      <c r="D4" s="572" t="s">
        <v>1491</v>
      </c>
    </row>
    <row r="5" spans="1:5">
      <c r="A5" s="2617" t="s">
        <v>1435</v>
      </c>
      <c r="B5" s="2630" t="s">
        <v>1436</v>
      </c>
      <c r="C5" s="2603" t="s">
        <v>1492</v>
      </c>
      <c r="D5" s="2603" t="s">
        <v>1493</v>
      </c>
    </row>
    <row r="6" spans="1:5">
      <c r="A6" s="2618"/>
      <c r="B6" s="2426"/>
      <c r="C6" s="2625"/>
      <c r="D6" s="2625"/>
    </row>
    <row r="7" spans="1:5" ht="28.5" customHeight="1">
      <c r="A7" s="2618"/>
      <c r="B7" s="2426"/>
      <c r="C7" s="2626"/>
      <c r="D7" s="2626"/>
    </row>
    <row r="8" spans="1:5" ht="13.5">
      <c r="A8" s="2618"/>
      <c r="B8" s="2426"/>
      <c r="C8" s="153" t="s">
        <v>109</v>
      </c>
      <c r="D8" s="2321" t="s">
        <v>1439</v>
      </c>
    </row>
    <row r="9" spans="1:5">
      <c r="A9" s="2618"/>
      <c r="B9" s="2426"/>
      <c r="C9" s="2196" t="s">
        <v>1440</v>
      </c>
      <c r="D9" s="2632"/>
    </row>
    <row r="10" spans="1:5">
      <c r="A10" s="2618"/>
      <c r="B10" s="2426"/>
      <c r="C10" s="2633"/>
      <c r="D10" s="2632"/>
    </row>
    <row r="11" spans="1:5" ht="14.25" thickBot="1">
      <c r="A11" s="2629"/>
      <c r="B11" s="2631"/>
      <c r="C11" s="585" t="s">
        <v>420</v>
      </c>
      <c r="D11" s="2628"/>
    </row>
    <row r="12" spans="1:5" ht="20.100000000000001" customHeight="1" thickTop="1">
      <c r="A12" s="586">
        <v>401</v>
      </c>
      <c r="B12" s="102" t="s">
        <v>1494</v>
      </c>
      <c r="C12" s="36"/>
      <c r="D12" s="36"/>
      <c r="E12" s="582"/>
    </row>
    <row r="13" spans="1:5" ht="20.100000000000001" customHeight="1">
      <c r="A13" s="586">
        <f>A12+1</f>
        <v>402</v>
      </c>
      <c r="B13" s="107" t="s">
        <v>1495</v>
      </c>
      <c r="C13" s="36"/>
      <c r="D13" s="36"/>
      <c r="E13" s="582"/>
    </row>
    <row r="14" spans="1:5" ht="20.100000000000001" customHeight="1">
      <c r="A14" s="586">
        <f t="shared" ref="A14:A32" si="0">A13+1</f>
        <v>403</v>
      </c>
      <c r="B14" s="107" t="s">
        <v>1496</v>
      </c>
      <c r="C14" s="36"/>
      <c r="D14" s="36"/>
      <c r="E14" s="592"/>
    </row>
    <row r="15" spans="1:5" ht="27.75" customHeight="1">
      <c r="A15" s="586">
        <f t="shared" si="0"/>
        <v>404</v>
      </c>
      <c r="B15" s="107" t="s">
        <v>1497</v>
      </c>
      <c r="C15" s="36"/>
      <c r="D15" s="36"/>
      <c r="E15" s="592"/>
    </row>
    <row r="16" spans="1:5" ht="19.5" customHeight="1">
      <c r="A16" s="586">
        <f t="shared" si="0"/>
        <v>405</v>
      </c>
      <c r="B16" s="107" t="s">
        <v>1498</v>
      </c>
      <c r="C16" s="36"/>
      <c r="D16" s="36"/>
      <c r="E16" s="592"/>
    </row>
    <row r="17" spans="1:5" ht="20.100000000000001" customHeight="1">
      <c r="A17" s="586">
        <f>A16+1</f>
        <v>406</v>
      </c>
      <c r="B17" s="107" t="s">
        <v>1499</v>
      </c>
      <c r="C17" s="36"/>
      <c r="D17" s="36"/>
      <c r="E17" s="582"/>
    </row>
    <row r="18" spans="1:5" ht="20.100000000000001" customHeight="1">
      <c r="A18" s="586">
        <f t="shared" si="0"/>
        <v>407</v>
      </c>
      <c r="B18" s="107" t="s">
        <v>1500</v>
      </c>
      <c r="C18" s="36"/>
      <c r="D18" s="36"/>
      <c r="E18" s="582"/>
    </row>
    <row r="19" spans="1:5" ht="20.100000000000001" customHeight="1">
      <c r="A19" s="586">
        <f t="shared" si="0"/>
        <v>408</v>
      </c>
      <c r="B19" s="107" t="s">
        <v>1501</v>
      </c>
      <c r="C19" s="36"/>
      <c r="D19" s="36"/>
      <c r="E19" s="582"/>
    </row>
    <row r="20" spans="1:5" ht="20.100000000000001" customHeight="1">
      <c r="A20" s="586">
        <f t="shared" si="0"/>
        <v>409</v>
      </c>
      <c r="B20" s="109" t="s">
        <v>1502</v>
      </c>
      <c r="C20" s="36"/>
      <c r="D20" s="215"/>
      <c r="E20" s="582"/>
    </row>
    <row r="21" spans="1:5" ht="20.100000000000001" customHeight="1">
      <c r="A21" s="586">
        <f t="shared" si="0"/>
        <v>410</v>
      </c>
      <c r="B21" s="102" t="s">
        <v>1503</v>
      </c>
      <c r="C21" s="36"/>
      <c r="D21" s="36"/>
      <c r="E21" s="582"/>
    </row>
    <row r="22" spans="1:5" ht="20.100000000000001" customHeight="1">
      <c r="A22" s="586">
        <f t="shared" si="0"/>
        <v>411</v>
      </c>
      <c r="B22" s="102" t="s">
        <v>1504</v>
      </c>
      <c r="C22" s="36"/>
      <c r="D22" s="36"/>
      <c r="E22" s="582"/>
    </row>
    <row r="23" spans="1:5" ht="20.100000000000001" customHeight="1">
      <c r="A23" s="586">
        <f t="shared" si="0"/>
        <v>412</v>
      </c>
      <c r="B23" s="102" t="s">
        <v>1505</v>
      </c>
      <c r="C23" s="36"/>
      <c r="D23" s="36"/>
      <c r="E23" s="582"/>
    </row>
    <row r="24" spans="1:5" ht="20.100000000000001" customHeight="1">
      <c r="A24" s="586">
        <f t="shared" si="0"/>
        <v>413</v>
      </c>
      <c r="B24" s="110" t="s">
        <v>1506</v>
      </c>
      <c r="C24" s="36"/>
      <c r="D24" s="36"/>
      <c r="E24" s="582"/>
    </row>
    <row r="25" spans="1:5" ht="20.100000000000001" customHeight="1">
      <c r="A25" s="586">
        <f t="shared" si="0"/>
        <v>414</v>
      </c>
      <c r="B25" s="110" t="s">
        <v>1507</v>
      </c>
      <c r="C25" s="36"/>
      <c r="D25" s="36"/>
      <c r="E25" s="582"/>
    </row>
    <row r="26" spans="1:5" ht="20.100000000000001" customHeight="1">
      <c r="A26" s="586">
        <f t="shared" si="0"/>
        <v>415</v>
      </c>
      <c r="B26" s="110" t="s">
        <v>1508</v>
      </c>
      <c r="C26" s="36"/>
      <c r="D26" s="36"/>
      <c r="E26" s="582"/>
    </row>
    <row r="27" spans="1:5" ht="40.5" customHeight="1">
      <c r="A27" s="586">
        <f t="shared" si="0"/>
        <v>416</v>
      </c>
      <c r="B27" s="110" t="s">
        <v>1509</v>
      </c>
      <c r="C27" s="36"/>
      <c r="D27" s="36"/>
      <c r="E27" s="582"/>
    </row>
    <row r="28" spans="1:5" ht="20.100000000000001" customHeight="1">
      <c r="A28" s="586">
        <f t="shared" si="0"/>
        <v>417</v>
      </c>
      <c r="B28" s="111" t="s">
        <v>1510</v>
      </c>
      <c r="C28" s="36"/>
      <c r="D28" s="36"/>
      <c r="E28" s="582"/>
    </row>
    <row r="29" spans="1:5" ht="20.100000000000001" customHeight="1">
      <c r="A29" s="586">
        <f t="shared" si="0"/>
        <v>418</v>
      </c>
      <c r="B29" s="111" t="s">
        <v>1511</v>
      </c>
      <c r="C29" s="36"/>
      <c r="D29" s="36"/>
      <c r="E29" s="582"/>
    </row>
    <row r="30" spans="1:5" ht="20.100000000000001" customHeight="1">
      <c r="A30" s="586">
        <f t="shared" si="0"/>
        <v>419</v>
      </c>
      <c r="B30" s="111" t="s">
        <v>1512</v>
      </c>
      <c r="C30" s="36"/>
      <c r="D30" s="36"/>
      <c r="E30" s="582"/>
    </row>
    <row r="31" spans="1:5" ht="20.100000000000001" customHeight="1">
      <c r="A31" s="586">
        <f t="shared" si="0"/>
        <v>420</v>
      </c>
      <c r="B31" s="104" t="s">
        <v>1513</v>
      </c>
      <c r="C31" s="36"/>
      <c r="D31" s="36"/>
      <c r="E31" s="582"/>
    </row>
    <row r="32" spans="1:5" ht="20.100000000000001" customHeight="1">
      <c r="A32" s="586">
        <f t="shared" si="0"/>
        <v>421</v>
      </c>
      <c r="B32" s="104" t="s">
        <v>1514</v>
      </c>
      <c r="C32" s="36"/>
      <c r="D32" s="36"/>
      <c r="E32" s="582"/>
    </row>
    <row r="33" spans="1:4" ht="13.5">
      <c r="A33" s="24"/>
      <c r="B33" s="24"/>
      <c r="C33" s="24"/>
      <c r="D33" s="24"/>
    </row>
    <row r="34" spans="1:4" ht="13.5">
      <c r="A34" s="24"/>
      <c r="B34" s="24"/>
      <c r="C34" s="24"/>
      <c r="D34" s="24"/>
    </row>
    <row r="35" spans="1:4" ht="13.5">
      <c r="A35" s="24"/>
      <c r="B35" s="24"/>
      <c r="C35" s="24"/>
      <c r="D35" s="24"/>
    </row>
    <row r="41" spans="1:4" ht="15.75">
      <c r="A41" s="22"/>
      <c r="B41" s="22"/>
      <c r="C41" s="22"/>
      <c r="D41" s="22"/>
    </row>
  </sheetData>
  <customSheetViews>
    <customSheetView guid="{9C153D9E-615C-443B-9CD7-551163282F03}" scale="180" showPageBreaks="1" view="pageBreakPreview" topLeftCell="A20">
      <selection activeCell="B26" sqref="B26"/>
      <pageMargins left="0" right="0" top="0" bottom="0" header="0" footer="0"/>
      <pageSetup firstPageNumber="53" orientation="landscape" r:id="rId1"/>
      <headerFooter>
        <oddFooter>&amp;C&amp;P</oddFooter>
      </headerFooter>
    </customSheetView>
    <customSheetView guid="{BE9F68F7-D81B-4526-9959-D871EC50BDFF}" scale="180" showPageBreaks="1" view="pageBreakPreview" topLeftCell="A20">
      <selection activeCell="B26" sqref="B26"/>
      <pageMargins left="0" right="0" top="0" bottom="0" header="0" footer="0"/>
      <pageSetup firstPageNumber="53" orientation="landscape" r:id="rId2"/>
      <headerFooter>
        <oddFooter>&amp;C&amp;P</oddFooter>
      </headerFooter>
    </customSheetView>
    <customSheetView guid="{EF790C5B-80DA-4544-9EB7-EFE0323B2298}" scale="180" showPageBreaks="1" view="pageBreakPreview" topLeftCell="A23">
      <selection activeCell="B27" sqref="B12:B27"/>
      <pageMargins left="0" right="0" top="0" bottom="0" header="0" footer="0"/>
      <pageSetup firstPageNumber="53" orientation="landscape" r:id="rId3"/>
      <headerFooter>
        <oddFooter>&amp;C&amp;P</oddFooter>
      </headerFooter>
    </customSheetView>
    <customSheetView guid="{C9D2DBB1-CD01-4732-8C86-64BE16C94753}" scale="90" showPageBreaks="1" view="pageBreakPreview">
      <pageMargins left="0" right="0" top="0" bottom="0" header="0" footer="0"/>
      <pageSetup firstPageNumber="53" orientation="landscape" r:id="rId4"/>
      <headerFooter>
        <oddFooter>&amp;C&amp;P</oddFooter>
      </headerFooter>
    </customSheetView>
    <customSheetView guid="{BFEC163F-7C4E-49B7-9F32-15225772E72F}" scale="90" showPageBreaks="1" view="pageBreakPreview" topLeftCell="A10">
      <selection activeCell="B17" sqref="B17"/>
      <pageMargins left="0" right="0" top="0" bottom="0" header="0" footer="0"/>
      <pageSetup firstPageNumber="53" orientation="landscape" r:id="rId5"/>
      <headerFooter>
        <oddFooter>&amp;C&amp;P</oddFooter>
      </headerFooter>
    </customSheetView>
    <customSheetView guid="{5529DB6B-163A-4048-9107-267B30B97DF3}" scale="90" showPageBreaks="1" view="pageBreakPreview">
      <selection activeCell="B17" sqref="B17"/>
      <pageMargins left="0" right="0" top="0" bottom="0" header="0" footer="0"/>
      <pageSetup firstPageNumber="53" orientation="landscape" r:id="rId6"/>
      <headerFooter>
        <oddFooter>&amp;C&amp;P</oddFooter>
      </headerFooter>
    </customSheetView>
    <customSheetView guid="{9B0763AA-FA4B-479A-900C-C113E8BEEFEB}" scale="90" showPageBreaks="1" view="pageBreakPreview">
      <selection activeCell="B17" sqref="B17"/>
      <pageMargins left="0" right="0" top="0" bottom="0" header="0" footer="0"/>
      <pageSetup firstPageNumber="53" orientation="landscape" r:id="rId7"/>
      <headerFooter>
        <oddFooter>&amp;C&amp;P</oddFooter>
      </headerFooter>
    </customSheetView>
    <customSheetView guid="{89903799-8228-4A6D-8A81-7F80BC61226D}" scale="180" showPageBreaks="1" view="pageBreakPreview" topLeftCell="B1">
      <selection activeCell="C5" sqref="C5:C7"/>
      <pageMargins left="0" right="0" top="0" bottom="0" header="0" footer="0"/>
      <pageSetup firstPageNumber="53" orientation="landscape" r:id="rId8"/>
      <headerFooter>
        <oddFooter>&amp;C&amp;P</oddFooter>
      </headerFooter>
    </customSheetView>
    <customSheetView guid="{2524630E-605A-4616-AD5D-6CF7B1E9752C}" scale="180" showPageBreaks="1" view="pageBreakPreview" topLeftCell="A23">
      <selection activeCell="B27" sqref="B12:B27"/>
      <pageMargins left="0" right="0" top="0" bottom="0" header="0" footer="0"/>
      <pageSetup firstPageNumber="53" orientation="landscape" r:id="rId9"/>
      <headerFooter>
        <oddFooter>&amp;C&amp;P</oddFooter>
      </headerFooter>
    </customSheetView>
  </customSheetViews>
  <mergeCells count="6">
    <mergeCell ref="A5:A11"/>
    <mergeCell ref="B5:B11"/>
    <mergeCell ref="C5:C7"/>
    <mergeCell ref="D5:D7"/>
    <mergeCell ref="D8:D11"/>
    <mergeCell ref="C9:C10"/>
  </mergeCells>
  <pageMargins left="0.314" right="0.314" top="0.11799999999999999" bottom="0.27500000000000002" header="0.157" footer="0.11799999999999999"/>
  <pageSetup scale="94" firstPageNumber="53" orientation="landscape" r:id="rId10"/>
  <headerFooter>
    <oddFooter>&amp;C&amp;P</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E21"/>
  <sheetViews>
    <sheetView view="pageBreakPreview" topLeftCell="A12" zoomScale="210" zoomScaleNormal="100" zoomScaleSheetLayoutView="210" workbookViewId="0">
      <selection activeCell="B12" sqref="B12"/>
    </sheetView>
  </sheetViews>
  <sheetFormatPr defaultColWidth="9.140625" defaultRowHeight="12.75"/>
  <cols>
    <col min="1" max="1" width="6.7109375" style="769" customWidth="1"/>
    <col min="2" max="2" width="92" style="769" customWidth="1"/>
    <col min="3" max="3" width="18.28515625" style="271" customWidth="1"/>
    <col min="4" max="4" width="17.7109375" style="271" customWidth="1"/>
    <col min="5" max="16384" width="9.140625" style="271"/>
  </cols>
  <sheetData>
    <row r="1" spans="1:5">
      <c r="A1" s="1735" t="s">
        <v>1430</v>
      </c>
      <c r="B1" s="1736"/>
      <c r="C1" s="534"/>
      <c r="D1" s="534"/>
    </row>
    <row r="2" spans="1:5" ht="15.75">
      <c r="A2" s="1159" t="s">
        <v>1515</v>
      </c>
      <c r="B2" s="1160"/>
      <c r="C2" s="22"/>
      <c r="D2" s="22"/>
    </row>
    <row r="3" spans="1:5" ht="15.75">
      <c r="A3" s="1160"/>
      <c r="B3" s="1160"/>
      <c r="C3" s="22"/>
      <c r="D3" s="22"/>
    </row>
    <row r="4" spans="1:5" ht="13.5">
      <c r="A4" s="1634" t="s">
        <v>1516</v>
      </c>
      <c r="B4" s="1737"/>
      <c r="C4" s="572" t="s">
        <v>1517</v>
      </c>
      <c r="D4" s="572" t="s">
        <v>1518</v>
      </c>
    </row>
    <row r="5" spans="1:5" ht="54">
      <c r="A5" s="2634" t="s">
        <v>1435</v>
      </c>
      <c r="B5" s="2637" t="s">
        <v>1519</v>
      </c>
      <c r="C5" s="593" t="s">
        <v>1520</v>
      </c>
      <c r="D5" s="532" t="s">
        <v>1521</v>
      </c>
    </row>
    <row r="6" spans="1:5" ht="13.5">
      <c r="A6" s="2635"/>
      <c r="B6" s="2638"/>
      <c r="C6" s="302" t="s">
        <v>109</v>
      </c>
      <c r="D6" s="2640" t="s">
        <v>1439</v>
      </c>
    </row>
    <row r="7" spans="1:5">
      <c r="A7" s="2635"/>
      <c r="B7" s="2638"/>
      <c r="C7" s="2196" t="s">
        <v>1440</v>
      </c>
      <c r="D7" s="2641"/>
    </row>
    <row r="8" spans="1:5">
      <c r="A8" s="2635"/>
      <c r="B8" s="2638"/>
      <c r="C8" s="2633"/>
      <c r="D8" s="2641"/>
    </row>
    <row r="9" spans="1:5" ht="14.25" thickBot="1">
      <c r="A9" s="2636"/>
      <c r="B9" s="2639"/>
      <c r="C9" s="594" t="s">
        <v>420</v>
      </c>
      <c r="D9" s="2642"/>
    </row>
    <row r="10" spans="1:5" ht="16.5" customHeight="1" thickTop="1">
      <c r="A10" s="1738">
        <v>501</v>
      </c>
      <c r="B10" s="1739" t="s">
        <v>1522</v>
      </c>
      <c r="C10" s="595"/>
      <c r="D10" s="596"/>
      <c r="E10" s="582"/>
    </row>
    <row r="11" spans="1:5" ht="13.5">
      <c r="A11" s="1740">
        <f>A10+1</f>
        <v>502</v>
      </c>
      <c r="B11" s="1741" t="s">
        <v>1523</v>
      </c>
      <c r="C11" s="587"/>
      <c r="D11" s="597"/>
      <c r="E11" s="582"/>
    </row>
    <row r="12" spans="1:5" ht="20.100000000000001" customHeight="1">
      <c r="A12" s="1740">
        <f t="shared" ref="A12:A21" si="0">A11+1</f>
        <v>503</v>
      </c>
      <c r="B12" s="1742" t="s">
        <v>1524</v>
      </c>
      <c r="C12" s="577"/>
      <c r="D12" s="36"/>
      <c r="E12" s="582"/>
    </row>
    <row r="13" spans="1:5" ht="27">
      <c r="A13" s="1740">
        <f t="shared" si="0"/>
        <v>504</v>
      </c>
      <c r="B13" s="1742" t="s">
        <v>1525</v>
      </c>
      <c r="C13" s="577"/>
      <c r="D13" s="36"/>
      <c r="E13" s="582"/>
    </row>
    <row r="14" spans="1:5" ht="16.5" customHeight="1">
      <c r="A14" s="1740">
        <f t="shared" si="0"/>
        <v>505</v>
      </c>
      <c r="B14" s="1674" t="s">
        <v>1526</v>
      </c>
      <c r="C14" s="599"/>
      <c r="D14" s="600"/>
      <c r="E14" s="582"/>
    </row>
    <row r="15" spans="1:5" ht="16.5" customHeight="1">
      <c r="A15" s="1740">
        <f t="shared" si="0"/>
        <v>506</v>
      </c>
      <c r="B15" s="1674" t="s">
        <v>1527</v>
      </c>
      <c r="C15" s="599"/>
      <c r="D15" s="600"/>
      <c r="E15" s="582"/>
    </row>
    <row r="16" spans="1:5" ht="16.5" customHeight="1">
      <c r="A16" s="1740">
        <f t="shared" si="0"/>
        <v>507</v>
      </c>
      <c r="B16" s="1674" t="s">
        <v>1528</v>
      </c>
      <c r="C16" s="600"/>
      <c r="D16" s="600"/>
      <c r="E16" s="582"/>
    </row>
    <row r="17" spans="1:5" ht="20.100000000000001" customHeight="1">
      <c r="A17" s="1740">
        <f t="shared" si="0"/>
        <v>508</v>
      </c>
      <c r="B17" s="1742" t="s">
        <v>1529</v>
      </c>
      <c r="C17" s="36"/>
      <c r="D17" s="36"/>
      <c r="E17" s="582"/>
    </row>
    <row r="18" spans="1:5" ht="20.100000000000001" customHeight="1">
      <c r="A18" s="1740">
        <f t="shared" si="0"/>
        <v>509</v>
      </c>
      <c r="B18" s="1742" t="s">
        <v>1530</v>
      </c>
      <c r="C18" s="36"/>
      <c r="D18" s="36"/>
      <c r="E18" s="582"/>
    </row>
    <row r="19" spans="1:5" ht="16.5" customHeight="1">
      <c r="A19" s="1740">
        <f t="shared" si="0"/>
        <v>510</v>
      </c>
      <c r="B19" s="1674" t="s">
        <v>1531</v>
      </c>
      <c r="C19" s="600"/>
      <c r="D19" s="600"/>
      <c r="E19" s="582"/>
    </row>
    <row r="20" spans="1:5" ht="20.100000000000001" customHeight="1">
      <c r="A20" s="1740">
        <f t="shared" si="0"/>
        <v>511</v>
      </c>
      <c r="B20" s="1742" t="s">
        <v>1532</v>
      </c>
      <c r="C20" s="36"/>
      <c r="D20" s="36"/>
      <c r="E20" s="582"/>
    </row>
    <row r="21" spans="1:5" ht="20.100000000000001" customHeight="1">
      <c r="A21" s="1740">
        <f t="shared" si="0"/>
        <v>512</v>
      </c>
      <c r="B21" s="1742" t="s">
        <v>1533</v>
      </c>
      <c r="C21" s="36"/>
      <c r="D21" s="36"/>
      <c r="E21" s="582"/>
    </row>
  </sheetData>
  <customSheetViews>
    <customSheetView guid="{9C153D9E-615C-443B-9CD7-551163282F03}" scale="190" showPageBreaks="1" printArea="1" view="pageBreakPreview" topLeftCell="B1">
      <selection activeCell="B5" sqref="B5:B9"/>
      <pageMargins left="0" right="0" top="0" bottom="0" header="0" footer="0"/>
      <pageSetup scale="99" firstPageNumber="54" orientation="landscape" r:id="rId1"/>
      <headerFooter>
        <oddFooter>&amp;C&amp;P</oddFooter>
      </headerFooter>
    </customSheetView>
    <customSheetView guid="{BE9F68F7-D81B-4526-9959-D871EC50BDFF}" scale="190" showPageBreaks="1" printArea="1" view="pageBreakPreview" topLeftCell="B1">
      <selection activeCell="B5" sqref="B5:B9"/>
      <pageMargins left="0" right="0" top="0" bottom="0" header="0" footer="0"/>
      <pageSetup scale="99" firstPageNumber="54" orientation="landscape" r:id="rId2"/>
      <headerFooter>
        <oddFooter>&amp;C&amp;P</oddFooter>
      </headerFooter>
    </customSheetView>
    <customSheetView guid="{EF790C5B-80DA-4544-9EB7-EFE0323B2298}" scale="190" showPageBreaks="1" printArea="1" view="pageBreakPreview" topLeftCell="A2">
      <selection activeCell="B10" sqref="B10"/>
      <pageMargins left="0" right="0" top="0" bottom="0" header="0" footer="0"/>
      <pageSetup scale="99" firstPageNumber="54" orientation="landscape" r:id="rId3"/>
      <headerFooter>
        <oddFooter>&amp;C&amp;P</oddFooter>
      </headerFooter>
    </customSheetView>
    <customSheetView guid="{C9D2DBB1-CD01-4732-8C86-64BE16C94753}" scale="90" showPageBreaks="1" printArea="1" view="pageBreakPreview">
      <pageMargins left="0" right="0" top="0" bottom="0" header="0" footer="0"/>
      <pageSetup scale="99" firstPageNumber="54" orientation="landscape" r:id="rId4"/>
      <headerFooter>
        <oddFooter>&amp;C&amp;P</oddFooter>
      </headerFooter>
    </customSheetView>
    <customSheetView guid="{BFEC163F-7C4E-49B7-9F32-15225772E72F}" scale="90" showPageBreaks="1" printArea="1" view="pageBreakPreview">
      <selection activeCell="B12" sqref="B12"/>
      <pageMargins left="0" right="0" top="0" bottom="0" header="0" footer="0"/>
      <pageSetup scale="99" firstPageNumber="54" orientation="landscape" r:id="rId5"/>
      <headerFooter>
        <oddFooter>&amp;C&amp;P</oddFooter>
      </headerFooter>
    </customSheetView>
    <customSheetView guid="{5529DB6B-163A-4048-9107-267B30B97DF3}" scale="90" showPageBreaks="1" printArea="1" view="pageBreakPreview">
      <selection activeCell="B12" sqref="B12"/>
      <pageMargins left="0" right="0" top="0" bottom="0" header="0" footer="0"/>
      <pageSetup scale="99" firstPageNumber="54" orientation="landscape" r:id="rId6"/>
      <headerFooter>
        <oddFooter>&amp;C&amp;P</oddFooter>
      </headerFooter>
    </customSheetView>
    <customSheetView guid="{9B0763AA-FA4B-479A-900C-C113E8BEEFEB}" scale="90" showPageBreaks="1" printArea="1" view="pageBreakPreview">
      <selection activeCell="B12" sqref="B12"/>
      <pageMargins left="0" right="0" top="0" bottom="0" header="0" footer="0"/>
      <pageSetup scale="99" firstPageNumber="54" orientation="landscape" r:id="rId7"/>
      <headerFooter>
        <oddFooter>&amp;C&amp;P</oddFooter>
      </headerFooter>
    </customSheetView>
    <customSheetView guid="{89903799-8228-4A6D-8A81-7F80BC61226D}" scale="190" showPageBreaks="1" printArea="1" view="pageBreakPreview">
      <selection activeCell="B12" sqref="B12"/>
      <pageMargins left="0" right="0" top="0" bottom="0" header="0" footer="0"/>
      <pageSetup scale="99" firstPageNumber="54" orientation="landscape" r:id="rId8"/>
      <headerFooter>
        <oddFooter>&amp;C&amp;P</oddFooter>
      </headerFooter>
    </customSheetView>
    <customSheetView guid="{2524630E-605A-4616-AD5D-6CF7B1E9752C}" scale="190" showPageBreaks="1" printArea="1" view="pageBreakPreview" topLeftCell="A2">
      <selection activeCell="B10" sqref="B10"/>
      <pageMargins left="0" right="0" top="0" bottom="0" header="0" footer="0"/>
      <pageSetup scale="99" firstPageNumber="54" orientation="landscape" r:id="rId9"/>
      <headerFooter>
        <oddFooter>&amp;C&amp;P</oddFooter>
      </headerFooter>
    </customSheetView>
  </customSheetViews>
  <mergeCells count="4">
    <mergeCell ref="A5:A9"/>
    <mergeCell ref="B5:B9"/>
    <mergeCell ref="D6:D9"/>
    <mergeCell ref="C7:C8"/>
  </mergeCells>
  <pageMargins left="0.314" right="0.314" top="0.11799999999999999" bottom="0.27500000000000002" header="0.157" footer="0.11799999999999999"/>
  <pageSetup scale="99" firstPageNumber="54" orientation="landscape" r:id="rId10"/>
  <headerFooter>
    <oddFooter>&amp;C&amp;P</oddFooter>
  </headerFooter>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dimension ref="A1:E67"/>
  <sheetViews>
    <sheetView view="pageBreakPreview" topLeftCell="A7" zoomScale="190" zoomScaleNormal="80" zoomScaleSheetLayoutView="190" workbookViewId="0">
      <selection activeCell="B59" sqref="B59"/>
    </sheetView>
  </sheetViews>
  <sheetFormatPr defaultColWidth="9.140625" defaultRowHeight="12.75"/>
  <cols>
    <col min="1" max="1" width="6.85546875" style="271" customWidth="1"/>
    <col min="2" max="2" width="92" style="271" customWidth="1"/>
    <col min="3" max="3" width="18.28515625" style="271" customWidth="1"/>
    <col min="4" max="4" width="17.7109375" style="271" customWidth="1"/>
    <col min="5" max="16384" width="9.140625" style="271"/>
  </cols>
  <sheetData>
    <row r="1" spans="1:5">
      <c r="A1" s="570" t="s">
        <v>1430</v>
      </c>
      <c r="B1" s="534"/>
      <c r="C1" s="534"/>
      <c r="D1" s="534"/>
    </row>
    <row r="2" spans="1:5" ht="15.75">
      <c r="A2" s="120" t="s">
        <v>1534</v>
      </c>
      <c r="B2" s="22"/>
      <c r="C2" s="22"/>
      <c r="D2" s="22"/>
    </row>
    <row r="3" spans="1:5" ht="10.5" customHeight="1">
      <c r="A3" s="22"/>
      <c r="B3" s="22"/>
      <c r="C3" s="22"/>
      <c r="D3" s="22"/>
    </row>
    <row r="4" spans="1:5" ht="13.5">
      <c r="A4" s="540" t="s">
        <v>1535</v>
      </c>
      <c r="B4" s="580"/>
      <c r="C4" s="572" t="s">
        <v>1536</v>
      </c>
      <c r="D4" s="572" t="s">
        <v>1537</v>
      </c>
    </row>
    <row r="5" spans="1:5" ht="54">
      <c r="A5" s="2617" t="s">
        <v>1435</v>
      </c>
      <c r="B5" s="2645" t="s">
        <v>1538</v>
      </c>
      <c r="C5" s="593" t="s">
        <v>1539</v>
      </c>
      <c r="D5" s="532" t="s">
        <v>1540</v>
      </c>
    </row>
    <row r="6" spans="1:5" ht="13.5">
      <c r="A6" s="2643"/>
      <c r="B6" s="2646"/>
      <c r="C6" s="302" t="s">
        <v>109</v>
      </c>
      <c r="D6" s="2640" t="s">
        <v>1439</v>
      </c>
    </row>
    <row r="7" spans="1:5">
      <c r="A7" s="2643"/>
      <c r="B7" s="2646"/>
      <c r="C7" s="2196" t="s">
        <v>1440</v>
      </c>
      <c r="D7" s="2641"/>
    </row>
    <row r="8" spans="1:5">
      <c r="A8" s="2643"/>
      <c r="B8" s="2646"/>
      <c r="C8" s="2633"/>
      <c r="D8" s="2641"/>
    </row>
    <row r="9" spans="1:5" ht="14.25" thickBot="1">
      <c r="A9" s="2644"/>
      <c r="B9" s="2647"/>
      <c r="C9" s="594" t="s">
        <v>420</v>
      </c>
      <c r="D9" s="2642"/>
    </row>
    <row r="10" spans="1:5" ht="16.5" customHeight="1" thickTop="1">
      <c r="A10" s="586">
        <v>601</v>
      </c>
      <c r="B10" s="107" t="s">
        <v>1541</v>
      </c>
      <c r="C10" s="600"/>
      <c r="D10" s="600"/>
      <c r="E10" s="582"/>
    </row>
    <row r="11" spans="1:5" ht="24" customHeight="1">
      <c r="A11" s="586">
        <f>A10+1</f>
        <v>602</v>
      </c>
      <c r="B11" s="598" t="s">
        <v>1542</v>
      </c>
      <c r="C11" s="36"/>
      <c r="D11" s="36"/>
      <c r="E11" s="582"/>
    </row>
    <row r="12" spans="1:5" ht="23.25" customHeight="1">
      <c r="A12" s="586">
        <f>A11+1</f>
        <v>603</v>
      </c>
      <c r="B12" s="107" t="s">
        <v>1543</v>
      </c>
      <c r="C12" s="600"/>
      <c r="D12" s="600"/>
      <c r="E12" s="582"/>
    </row>
    <row r="13" spans="1:5" ht="22.5" customHeight="1">
      <c r="A13" s="586">
        <f>A12+1</f>
        <v>604</v>
      </c>
      <c r="B13" s="107" t="s">
        <v>1544</v>
      </c>
      <c r="C13" s="600"/>
      <c r="D13" s="600"/>
      <c r="E13" s="582"/>
    </row>
    <row r="14" spans="1:5" ht="28.9" customHeight="1">
      <c r="A14" s="586">
        <f>A13+1</f>
        <v>605</v>
      </c>
      <c r="B14" s="601" t="s">
        <v>1545</v>
      </c>
      <c r="C14" s="36"/>
      <c r="D14" s="36"/>
      <c r="E14" s="582"/>
    </row>
    <row r="15" spans="1:5" ht="16.5" customHeight="1">
      <c r="A15" s="586">
        <f>A14+1</f>
        <v>606</v>
      </c>
      <c r="B15" s="601" t="s">
        <v>1546</v>
      </c>
      <c r="C15" s="36"/>
      <c r="D15" s="36"/>
      <c r="E15" s="582"/>
    </row>
    <row r="16" spans="1:5" ht="16.5" customHeight="1">
      <c r="A16" s="586">
        <f t="shared" ref="A16:A24" si="0">A15+1</f>
        <v>607</v>
      </c>
      <c r="B16" s="107" t="s">
        <v>1547</v>
      </c>
      <c r="C16" s="600"/>
      <c r="D16" s="600"/>
      <c r="E16" s="582"/>
    </row>
    <row r="17" spans="1:5" ht="16.5" customHeight="1">
      <c r="A17" s="586">
        <f t="shared" si="0"/>
        <v>608</v>
      </c>
      <c r="B17" s="107" t="s">
        <v>1548</v>
      </c>
      <c r="C17" s="600"/>
      <c r="D17" s="600"/>
      <c r="E17" s="582"/>
    </row>
    <row r="18" spans="1:5" ht="16.5" customHeight="1">
      <c r="A18" s="586">
        <f t="shared" si="0"/>
        <v>609</v>
      </c>
      <c r="B18" s="107" t="s">
        <v>1549</v>
      </c>
      <c r="C18" s="600"/>
      <c r="D18" s="600"/>
      <c r="E18" s="582"/>
    </row>
    <row r="19" spans="1:5" ht="16.5" customHeight="1">
      <c r="A19" s="586">
        <f t="shared" si="0"/>
        <v>610</v>
      </c>
      <c r="B19" s="107" t="s">
        <v>1550</v>
      </c>
      <c r="C19" s="600"/>
      <c r="D19" s="600"/>
      <c r="E19" s="582"/>
    </row>
    <row r="20" spans="1:5" ht="16.5" customHeight="1">
      <c r="A20" s="586">
        <f t="shared" si="0"/>
        <v>611</v>
      </c>
      <c r="B20" s="107" t="s">
        <v>1551</v>
      </c>
      <c r="C20" s="600"/>
      <c r="D20" s="600"/>
      <c r="E20" s="582"/>
    </row>
    <row r="21" spans="1:5" ht="16.5" customHeight="1">
      <c r="A21" s="586">
        <f t="shared" si="0"/>
        <v>612</v>
      </c>
      <c r="B21" s="107" t="s">
        <v>1552</v>
      </c>
      <c r="C21" s="600"/>
      <c r="D21" s="600"/>
      <c r="E21" s="582"/>
    </row>
    <row r="22" spans="1:5" ht="16.5" customHeight="1">
      <c r="A22" s="586">
        <f t="shared" si="0"/>
        <v>613</v>
      </c>
      <c r="B22" s="107" t="s">
        <v>1553</v>
      </c>
      <c r="C22" s="600"/>
      <c r="D22" s="600"/>
      <c r="E22" s="582"/>
    </row>
    <row r="23" spans="1:5" ht="16.5" customHeight="1">
      <c r="A23" s="586">
        <f t="shared" si="0"/>
        <v>614</v>
      </c>
      <c r="B23" s="107" t="s">
        <v>1554</v>
      </c>
      <c r="C23" s="600"/>
      <c r="D23" s="600"/>
      <c r="E23" s="582"/>
    </row>
    <row r="24" spans="1:5" ht="16.5" customHeight="1">
      <c r="A24" s="586">
        <f t="shared" si="0"/>
        <v>615</v>
      </c>
      <c r="B24" s="107" t="s">
        <v>1555</v>
      </c>
      <c r="C24" s="600"/>
      <c r="D24" s="600"/>
      <c r="E24" s="582"/>
    </row>
    <row r="25" spans="1:5" ht="16.5" customHeight="1">
      <c r="A25" s="586">
        <f>A24+1</f>
        <v>616</v>
      </c>
      <c r="B25" s="107" t="s">
        <v>1556</v>
      </c>
      <c r="C25" s="600"/>
      <c r="D25" s="600"/>
      <c r="E25" s="582"/>
    </row>
    <row r="26" spans="1:5" ht="16.5" customHeight="1">
      <c r="A26" s="586">
        <f>A25+1</f>
        <v>617</v>
      </c>
      <c r="B26" s="107" t="s">
        <v>1557</v>
      </c>
      <c r="C26" s="600"/>
      <c r="D26" s="600"/>
      <c r="E26" s="582"/>
    </row>
    <row r="27" spans="1:5" ht="13.5">
      <c r="A27" s="586">
        <f t="shared" ref="A27:A66" si="1">A26+1</f>
        <v>618</v>
      </c>
      <c r="B27" s="107" t="s">
        <v>1558</v>
      </c>
      <c r="C27" s="600"/>
      <c r="D27" s="600"/>
      <c r="E27" s="582"/>
    </row>
    <row r="28" spans="1:5" ht="16.5" customHeight="1">
      <c r="A28" s="586">
        <f t="shared" si="1"/>
        <v>619</v>
      </c>
      <c r="B28" s="104" t="s">
        <v>1559</v>
      </c>
      <c r="C28" s="600"/>
      <c r="D28" s="600"/>
      <c r="E28" s="582"/>
    </row>
    <row r="29" spans="1:5" ht="16.5" customHeight="1">
      <c r="A29" s="586">
        <f t="shared" si="1"/>
        <v>620</v>
      </c>
      <c r="B29" s="107" t="s">
        <v>1560</v>
      </c>
      <c r="C29" s="600"/>
      <c r="D29" s="600"/>
      <c r="E29" s="582"/>
    </row>
    <row r="30" spans="1:5" ht="16.5" customHeight="1">
      <c r="A30" s="586">
        <f t="shared" si="1"/>
        <v>621</v>
      </c>
      <c r="B30" s="107" t="s">
        <v>1561</v>
      </c>
      <c r="C30" s="600"/>
      <c r="D30" s="600"/>
      <c r="E30" s="582"/>
    </row>
    <row r="31" spans="1:5" ht="16.5" customHeight="1">
      <c r="A31" s="586">
        <f t="shared" si="1"/>
        <v>622</v>
      </c>
      <c r="B31" s="107" t="s">
        <v>1562</v>
      </c>
      <c r="C31" s="600"/>
      <c r="D31" s="600"/>
      <c r="E31" s="582"/>
    </row>
    <row r="32" spans="1:5" ht="24.75" customHeight="1">
      <c r="A32" s="586">
        <f t="shared" si="1"/>
        <v>623</v>
      </c>
      <c r="B32" s="107" t="s">
        <v>1563</v>
      </c>
      <c r="C32" s="600"/>
      <c r="D32" s="600"/>
      <c r="E32" s="582"/>
    </row>
    <row r="33" spans="1:5" ht="25.5" customHeight="1">
      <c r="A33" s="586">
        <f t="shared" si="1"/>
        <v>624</v>
      </c>
      <c r="B33" s="107" t="s">
        <v>1564</v>
      </c>
      <c r="C33" s="600"/>
      <c r="D33" s="600"/>
      <c r="E33" s="582"/>
    </row>
    <row r="34" spans="1:5" ht="16.5" customHeight="1">
      <c r="A34" s="586">
        <f t="shared" si="1"/>
        <v>625</v>
      </c>
      <c r="B34" s="107" t="s">
        <v>1565</v>
      </c>
      <c r="C34" s="600"/>
      <c r="D34" s="600"/>
      <c r="E34" s="582"/>
    </row>
    <row r="35" spans="1:5" ht="16.5" customHeight="1">
      <c r="A35" s="586">
        <f t="shared" si="1"/>
        <v>626</v>
      </c>
      <c r="B35" s="107" t="s">
        <v>1566</v>
      </c>
      <c r="C35" s="600"/>
      <c r="D35" s="600"/>
      <c r="E35" s="582"/>
    </row>
    <row r="36" spans="1:5" ht="16.5" customHeight="1">
      <c r="A36" s="586">
        <f t="shared" si="1"/>
        <v>627</v>
      </c>
      <c r="B36" s="107" t="s">
        <v>1567</v>
      </c>
      <c r="C36" s="600"/>
      <c r="D36" s="600"/>
      <c r="E36" s="582"/>
    </row>
    <row r="37" spans="1:5" ht="16.5" customHeight="1">
      <c r="A37" s="586">
        <f t="shared" si="1"/>
        <v>628</v>
      </c>
      <c r="B37" s="107" t="s">
        <v>1568</v>
      </c>
      <c r="C37" s="600"/>
      <c r="D37" s="600"/>
      <c r="E37" s="582"/>
    </row>
    <row r="38" spans="1:5" ht="16.5" customHeight="1">
      <c r="A38" s="586">
        <f t="shared" si="1"/>
        <v>629</v>
      </c>
      <c r="B38" s="107" t="s">
        <v>1569</v>
      </c>
      <c r="C38" s="600"/>
      <c r="D38" s="600"/>
      <c r="E38" s="582"/>
    </row>
    <row r="39" spans="1:5" ht="16.5" customHeight="1">
      <c r="A39" s="586">
        <f t="shared" si="1"/>
        <v>630</v>
      </c>
      <c r="B39" s="107" t="s">
        <v>1570</v>
      </c>
      <c r="C39" s="600"/>
      <c r="D39" s="600"/>
      <c r="E39" s="582"/>
    </row>
    <row r="40" spans="1:5" ht="16.5" customHeight="1">
      <c r="A40" s="586">
        <f t="shared" si="1"/>
        <v>631</v>
      </c>
      <c r="B40" s="107" t="s">
        <v>1571</v>
      </c>
      <c r="C40" s="600"/>
      <c r="D40" s="600"/>
      <c r="E40" s="582"/>
    </row>
    <row r="41" spans="1:5" ht="16.5" customHeight="1">
      <c r="A41" s="586">
        <f t="shared" si="1"/>
        <v>632</v>
      </c>
      <c r="B41" s="107" t="s">
        <v>1572</v>
      </c>
      <c r="C41" s="600"/>
      <c r="D41" s="600"/>
      <c r="E41" s="582"/>
    </row>
    <row r="42" spans="1:5" ht="16.5" customHeight="1">
      <c r="A42" s="586">
        <f t="shared" si="1"/>
        <v>633</v>
      </c>
      <c r="B42" s="107" t="s">
        <v>1573</v>
      </c>
      <c r="C42" s="600"/>
      <c r="D42" s="600"/>
      <c r="E42" s="582"/>
    </row>
    <row r="43" spans="1:5" ht="16.5" customHeight="1">
      <c r="A43" s="586">
        <f t="shared" si="1"/>
        <v>634</v>
      </c>
      <c r="B43" s="107" t="s">
        <v>1574</v>
      </c>
      <c r="C43" s="600"/>
      <c r="D43" s="600"/>
      <c r="E43" s="582"/>
    </row>
    <row r="44" spans="1:5" ht="16.5" customHeight="1">
      <c r="A44" s="586">
        <f t="shared" si="1"/>
        <v>635</v>
      </c>
      <c r="B44" s="107" t="s">
        <v>1575</v>
      </c>
      <c r="C44" s="600"/>
      <c r="D44" s="600"/>
      <c r="E44" s="582"/>
    </row>
    <row r="45" spans="1:5" ht="16.5" customHeight="1">
      <c r="A45" s="586">
        <f t="shared" si="1"/>
        <v>636</v>
      </c>
      <c r="B45" s="107" t="s">
        <v>1576</v>
      </c>
      <c r="C45" s="600"/>
      <c r="D45" s="600"/>
      <c r="E45" s="582"/>
    </row>
    <row r="46" spans="1:5" ht="22.5" customHeight="1">
      <c r="A46" s="586">
        <f t="shared" si="1"/>
        <v>637</v>
      </c>
      <c r="B46" s="107" t="s">
        <v>1577</v>
      </c>
      <c r="C46" s="600"/>
      <c r="D46" s="600"/>
      <c r="E46" s="582"/>
    </row>
    <row r="47" spans="1:5" ht="16.5" customHeight="1">
      <c r="A47" s="586">
        <f t="shared" si="1"/>
        <v>638</v>
      </c>
      <c r="B47" s="107" t="s">
        <v>1578</v>
      </c>
      <c r="C47" s="600"/>
      <c r="D47" s="600"/>
      <c r="E47" s="582"/>
    </row>
    <row r="48" spans="1:5" ht="16.5" customHeight="1">
      <c r="A48" s="586">
        <f t="shared" si="1"/>
        <v>639</v>
      </c>
      <c r="B48" s="107" t="s">
        <v>1579</v>
      </c>
      <c r="C48" s="600"/>
      <c r="D48" s="600"/>
      <c r="E48" s="582"/>
    </row>
    <row r="49" spans="1:5" ht="27">
      <c r="A49" s="586">
        <f t="shared" si="1"/>
        <v>640</v>
      </c>
      <c r="B49" s="107" t="s">
        <v>1580</v>
      </c>
      <c r="C49" s="600"/>
      <c r="D49" s="600"/>
      <c r="E49" s="582"/>
    </row>
    <row r="50" spans="1:5" ht="27">
      <c r="A50" s="586">
        <f t="shared" si="1"/>
        <v>641</v>
      </c>
      <c r="B50" s="107" t="s">
        <v>1581</v>
      </c>
      <c r="C50" s="600"/>
      <c r="D50" s="600"/>
      <c r="E50" s="582"/>
    </row>
    <row r="51" spans="1:5" ht="16.5" customHeight="1">
      <c r="A51" s="586">
        <f t="shared" si="1"/>
        <v>642</v>
      </c>
      <c r="B51" s="107" t="s">
        <v>1582</v>
      </c>
      <c r="C51" s="600"/>
      <c r="D51" s="600"/>
      <c r="E51" s="582"/>
    </row>
    <row r="52" spans="1:5" ht="16.5" customHeight="1">
      <c r="A52" s="586">
        <f t="shared" si="1"/>
        <v>643</v>
      </c>
      <c r="B52" s="107" t="s">
        <v>1583</v>
      </c>
      <c r="C52" s="600"/>
      <c r="D52" s="600"/>
      <c r="E52" s="582"/>
    </row>
    <row r="53" spans="1:5" ht="16.5" customHeight="1">
      <c r="A53" s="586">
        <f t="shared" si="1"/>
        <v>644</v>
      </c>
      <c r="B53" s="107" t="s">
        <v>1584</v>
      </c>
      <c r="C53" s="600"/>
      <c r="D53" s="600"/>
    </row>
    <row r="54" spans="1:5" ht="16.5" customHeight="1">
      <c r="A54" s="586">
        <f t="shared" si="1"/>
        <v>645</v>
      </c>
      <c r="B54" s="103" t="s">
        <v>1585</v>
      </c>
      <c r="C54" s="595"/>
      <c r="D54" s="596"/>
      <c r="E54" s="582"/>
    </row>
    <row r="55" spans="1:5" ht="16.5" customHeight="1">
      <c r="A55" s="586">
        <f t="shared" si="1"/>
        <v>646</v>
      </c>
      <c r="B55" s="103" t="s">
        <v>1586</v>
      </c>
      <c r="C55" s="595"/>
      <c r="D55" s="596"/>
      <c r="E55" s="582"/>
    </row>
    <row r="56" spans="1:5" ht="16.5" customHeight="1">
      <c r="A56" s="586">
        <f t="shared" si="1"/>
        <v>647</v>
      </c>
      <c r="B56" s="103" t="s">
        <v>1587</v>
      </c>
      <c r="C56" s="596"/>
      <c r="D56" s="596"/>
      <c r="E56" s="582"/>
    </row>
    <row r="57" spans="1:5" ht="16.5" customHeight="1">
      <c r="A57" s="586">
        <f t="shared" si="1"/>
        <v>648</v>
      </c>
      <c r="B57" s="107" t="s">
        <v>1588</v>
      </c>
      <c r="C57" s="600"/>
      <c r="D57" s="600"/>
      <c r="E57" s="582"/>
    </row>
    <row r="58" spans="1:5" ht="16.5" customHeight="1">
      <c r="A58" s="586">
        <f t="shared" si="1"/>
        <v>649</v>
      </c>
      <c r="B58" s="107" t="s">
        <v>1589</v>
      </c>
      <c r="C58" s="600"/>
      <c r="D58" s="600"/>
      <c r="E58" s="582"/>
    </row>
    <row r="59" spans="1:5" ht="22.5" customHeight="1">
      <c r="A59" s="586">
        <f t="shared" si="1"/>
        <v>650</v>
      </c>
      <c r="B59" s="107" t="s">
        <v>1590</v>
      </c>
      <c r="C59" s="600"/>
      <c r="D59" s="600"/>
      <c r="E59" s="582"/>
    </row>
    <row r="60" spans="1:5" ht="16.5" customHeight="1">
      <c r="A60" s="586">
        <f t="shared" si="1"/>
        <v>651</v>
      </c>
      <c r="B60" s="107" t="s">
        <v>1591</v>
      </c>
      <c r="C60" s="600"/>
      <c r="D60" s="600"/>
      <c r="E60" s="582"/>
    </row>
    <row r="61" spans="1:5" ht="16.5" customHeight="1">
      <c r="A61" s="586">
        <f t="shared" si="1"/>
        <v>652</v>
      </c>
      <c r="B61" s="107" t="s">
        <v>1592</v>
      </c>
      <c r="C61" s="600"/>
      <c r="D61" s="600"/>
      <c r="E61" s="582"/>
    </row>
    <row r="62" spans="1:5" ht="16.5" customHeight="1">
      <c r="A62" s="586">
        <f t="shared" si="1"/>
        <v>653</v>
      </c>
      <c r="B62" s="107" t="s">
        <v>1593</v>
      </c>
      <c r="C62" s="600"/>
      <c r="D62" s="600"/>
      <c r="E62" s="582"/>
    </row>
    <row r="63" spans="1:5" ht="16.5" customHeight="1">
      <c r="A63" s="586">
        <f t="shared" si="1"/>
        <v>654</v>
      </c>
      <c r="B63" s="103" t="s">
        <v>1594</v>
      </c>
      <c r="C63" s="596"/>
      <c r="D63" s="596"/>
      <c r="E63" s="582"/>
    </row>
    <row r="64" spans="1:5" ht="16.5" customHeight="1">
      <c r="A64" s="586">
        <f t="shared" si="1"/>
        <v>655</v>
      </c>
      <c r="B64" s="103" t="s">
        <v>1595</v>
      </c>
      <c r="C64" s="596"/>
      <c r="D64" s="596"/>
      <c r="E64" s="582"/>
    </row>
    <row r="65" spans="1:5" ht="16.5" customHeight="1">
      <c r="A65" s="586">
        <f t="shared" si="1"/>
        <v>656</v>
      </c>
      <c r="B65" s="107" t="s">
        <v>1596</v>
      </c>
      <c r="C65" s="600"/>
      <c r="D65" s="600"/>
      <c r="E65" s="582"/>
    </row>
    <row r="66" spans="1:5" ht="16.5" customHeight="1">
      <c r="A66" s="586">
        <f t="shared" si="1"/>
        <v>657</v>
      </c>
      <c r="B66" s="103" t="s">
        <v>1597</v>
      </c>
      <c r="C66" s="596"/>
      <c r="D66" s="596"/>
      <c r="E66" s="582"/>
    </row>
    <row r="67" spans="1:5" ht="17.100000000000001" customHeight="1"/>
  </sheetData>
  <customSheetViews>
    <customSheetView guid="{9C153D9E-615C-443B-9CD7-551163282F03}" scale="180" showPageBreaks="1" printArea="1" view="pageBreakPreview" topLeftCell="B1">
      <selection activeCell="B5" sqref="B5:B9"/>
      <pageMargins left="0" right="0" top="0" bottom="0" header="0" footer="0"/>
      <pageSetup scale="99" firstPageNumber="54" orientation="landscape" r:id="rId1"/>
      <headerFooter>
        <oddFooter>&amp;C&amp;P</oddFooter>
      </headerFooter>
    </customSheetView>
    <customSheetView guid="{BE9F68F7-D81B-4526-9959-D871EC50BDFF}" scale="180" showPageBreaks="1" printArea="1" view="pageBreakPreview" topLeftCell="B1">
      <selection activeCell="B5" sqref="B5:B9"/>
      <pageMargins left="0" right="0" top="0" bottom="0" header="0" footer="0"/>
      <pageSetup scale="99" firstPageNumber="54" orientation="landscape" r:id="rId2"/>
      <headerFooter>
        <oddFooter>&amp;C&amp;P</oddFooter>
      </headerFooter>
    </customSheetView>
    <customSheetView guid="{EF790C5B-80DA-4544-9EB7-EFE0323B2298}" scale="180" showPageBreaks="1" printArea="1" view="pageBreakPreview">
      <selection activeCell="B56" sqref="B56"/>
      <pageMargins left="0" right="0" top="0" bottom="0" header="0" footer="0"/>
      <pageSetup scale="99" firstPageNumber="54" orientation="landscape" r:id="rId3"/>
      <headerFooter>
        <oddFooter>&amp;C&amp;P</oddFooter>
      </headerFooter>
    </customSheetView>
    <customSheetView guid="{C9D2DBB1-CD01-4732-8C86-64BE16C94753}" scale="90" showPageBreaks="1" printArea="1" view="pageBreakPreview" topLeftCell="A31">
      <pageMargins left="0" right="0" top="0" bottom="0" header="0" footer="0"/>
      <pageSetup scale="99" firstPageNumber="54" orientation="landscape" r:id="rId4"/>
      <headerFooter>
        <oddFooter>&amp;C&amp;P</oddFooter>
      </headerFooter>
    </customSheetView>
    <customSheetView guid="{BFEC163F-7C4E-49B7-9F32-15225772E72F}" scale="90" showPageBreaks="1" printArea="1" view="pageBreakPreview" topLeftCell="A40">
      <selection activeCell="B12" sqref="B12"/>
      <pageMargins left="0" right="0" top="0" bottom="0" header="0" footer="0"/>
      <pageSetup scale="99" firstPageNumber="54" orientation="landscape" r:id="rId5"/>
      <headerFooter>
        <oddFooter>&amp;C&amp;P</oddFooter>
      </headerFooter>
    </customSheetView>
    <customSheetView guid="{5529DB6B-163A-4048-9107-267B30B97DF3}" scale="90" showPageBreaks="1" printArea="1" view="pageBreakPreview" topLeftCell="A40">
      <selection activeCell="B12" sqref="B12"/>
      <pageMargins left="0" right="0" top="0" bottom="0" header="0" footer="0"/>
      <pageSetup scale="99" firstPageNumber="54" orientation="landscape" r:id="rId6"/>
      <headerFooter>
        <oddFooter>&amp;C&amp;P</oddFooter>
      </headerFooter>
    </customSheetView>
    <customSheetView guid="{9B0763AA-FA4B-479A-900C-C113E8BEEFEB}" scale="90" showPageBreaks="1" printArea="1" view="pageBreakPreview" topLeftCell="A40">
      <selection activeCell="B12" sqref="B12"/>
      <pageMargins left="0" right="0" top="0" bottom="0" header="0" footer="0"/>
      <pageSetup scale="99" firstPageNumber="54" orientation="landscape" r:id="rId7"/>
      <headerFooter>
        <oddFooter>&amp;C&amp;P</oddFooter>
      </headerFooter>
    </customSheetView>
    <customSheetView guid="{89903799-8228-4A6D-8A81-7F80BC61226D}" scale="120" showPageBreaks="1" printArea="1" view="pageBreakPreview">
      <selection activeCell="B47" sqref="B47"/>
      <pageMargins left="0" right="0" top="0" bottom="0" header="0" footer="0"/>
      <pageSetup scale="99" firstPageNumber="54" orientation="landscape" r:id="rId8"/>
      <headerFooter>
        <oddFooter>&amp;C&amp;P</oddFooter>
      </headerFooter>
    </customSheetView>
    <customSheetView guid="{2524630E-605A-4616-AD5D-6CF7B1E9752C}" scale="180" showPageBreaks="1" printArea="1" view="pageBreakPreview">
      <selection activeCell="B56" sqref="B56"/>
      <pageMargins left="0" right="0" top="0" bottom="0" header="0" footer="0"/>
      <pageSetup scale="99" firstPageNumber="54" orientation="landscape" r:id="rId9"/>
      <headerFooter>
        <oddFooter>&amp;C&amp;P</oddFooter>
      </headerFooter>
    </customSheetView>
  </customSheetViews>
  <mergeCells count="4">
    <mergeCell ref="A5:A9"/>
    <mergeCell ref="B5:B9"/>
    <mergeCell ref="D6:D9"/>
    <mergeCell ref="C7:C8"/>
  </mergeCells>
  <pageMargins left="0.314" right="0.314" top="0.11799999999999999" bottom="0.27500000000000002" header="0.157" footer="0.11799999999999999"/>
  <pageSetup scale="86" firstPageNumber="54" orientation="landscape" r:id="rId10"/>
  <headerFooter>
    <oddFooter>&amp;C&amp;P</oddFooter>
  </headerFooter>
  <rowBreaks count="1" manualBreakCount="1">
    <brk id="36" max="3" man="1"/>
  </row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dimension ref="A1"/>
  <sheetViews>
    <sheetView workbookViewId="0"/>
  </sheetViews>
  <sheetFormatPr defaultColWidth="9.140625" defaultRowHeight="12.75"/>
  <sheetData/>
  <customSheetViews>
    <customSheetView guid="{9C153D9E-615C-443B-9CD7-551163282F03}" state="hidden">
      <pageMargins left="0" right="0" top="0" bottom="0" header="0" footer="0"/>
    </customSheetView>
    <customSheetView guid="{BE9F68F7-D81B-4526-9959-D871EC50BDFF}" state="hidden">
      <pageMargins left="0" right="0" top="0" bottom="0" header="0" footer="0"/>
    </customSheetView>
    <customSheetView guid="{EF790C5B-80DA-4544-9EB7-EFE0323B2298}" state="hidden">
      <pageMargins left="0" right="0" top="0" bottom="0" header="0" footer="0"/>
    </customSheetView>
    <customSheetView guid="{2524630E-605A-4616-AD5D-6CF7B1E9752C}" state="hidden">
      <pageMargins left="0" right="0" top="0" bottom="0" header="0" footer="0"/>
    </customSheetView>
  </customSheetViews>
  <pageMargins left="0.7" right="0.7" top="0.75" bottom="0.75" header="0.3" footer="0.3"/>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dimension ref="A1"/>
  <sheetViews>
    <sheetView workbookViewId="0"/>
  </sheetViews>
  <sheetFormatPr defaultColWidth="9.140625" defaultRowHeight="12.75"/>
  <sheetData/>
  <customSheetViews>
    <customSheetView guid="{9C153D9E-615C-443B-9CD7-551163282F03}" state="hidden">
      <pageMargins left="0" right="0" top="0" bottom="0" header="0" footer="0"/>
    </customSheetView>
    <customSheetView guid="{BE9F68F7-D81B-4526-9959-D871EC50BDFF}" state="hidden">
      <pageMargins left="0" right="0" top="0" bottom="0" header="0" footer="0"/>
    </customSheetView>
    <customSheetView guid="{EF790C5B-80DA-4544-9EB7-EFE0323B2298}" state="hidden">
      <pageMargins left="0" right="0" top="0" bottom="0" header="0" footer="0"/>
    </customSheetView>
    <customSheetView guid="{2524630E-605A-4616-AD5D-6CF7B1E9752C}" state="hidden">
      <pageMargins left="0" right="0" top="0" bottom="0" header="0" footer="0"/>
    </customSheetView>
  </customSheetViews>
  <pageMargins left="0.7" right="0.7" top="0.75" bottom="0.75" header="0.3" footer="0.3"/>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
  <sheetViews>
    <sheetView workbookViewId="0"/>
  </sheetViews>
  <sheetFormatPr defaultColWidth="9.140625" defaultRowHeight="12.75"/>
  <sheetData/>
  <customSheetViews>
    <customSheetView guid="{9C153D9E-615C-443B-9CD7-551163282F03}" state="hidden">
      <pageMargins left="0" right="0" top="0" bottom="0" header="0" footer="0"/>
    </customSheetView>
    <customSheetView guid="{BE9F68F7-D81B-4526-9959-D871EC50BDFF}" state="hidden">
      <pageMargins left="0" right="0" top="0" bottom="0" header="0" footer="0"/>
    </customSheetView>
    <customSheetView guid="{EF790C5B-80DA-4544-9EB7-EFE0323B2298}" state="hidden">
      <pageMargins left="0" right="0" top="0" bottom="0" header="0" footer="0"/>
    </customSheetView>
    <customSheetView guid="{2524630E-605A-4616-AD5D-6CF7B1E9752C}" state="hidden">
      <pageMargins left="0" right="0" top="0" bottom="0" header="0" footer="0"/>
    </customSheetView>
  </customSheetViews>
  <pageMargins left="0.7" right="0.7" top="0.75" bottom="0.75" header="0.3" footer="0.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
  <sheetViews>
    <sheetView workbookViewId="0"/>
  </sheetViews>
  <sheetFormatPr defaultColWidth="9.140625" defaultRowHeight="12.75"/>
  <sheetData/>
  <customSheetViews>
    <customSheetView guid="{9C153D9E-615C-443B-9CD7-551163282F03}" state="hidden">
      <pageMargins left="0" right="0" top="0" bottom="0" header="0" footer="0"/>
    </customSheetView>
    <customSheetView guid="{BE9F68F7-D81B-4526-9959-D871EC50BDFF}" state="hidden">
      <pageMargins left="0" right="0" top="0" bottom="0" header="0" footer="0"/>
    </customSheetView>
    <customSheetView guid="{EF790C5B-80DA-4544-9EB7-EFE0323B2298}" state="hidden">
      <pageMargins left="0" right="0" top="0" bottom="0" header="0" footer="0"/>
    </customSheetView>
    <customSheetView guid="{2524630E-605A-4616-AD5D-6CF7B1E9752C}" state="hidden">
      <pageMargins left="0" right="0" top="0" bottom="0" header="0" footer="0"/>
    </customSheetView>
  </customSheetViews>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600-000000000000}">
  <dimension ref="A1:Q39"/>
  <sheetViews>
    <sheetView view="pageBreakPreview" zoomScale="180" zoomScaleNormal="200" zoomScaleSheetLayoutView="180" workbookViewId="0">
      <selection activeCell="D6" sqref="D6"/>
    </sheetView>
  </sheetViews>
  <sheetFormatPr defaultColWidth="9.140625" defaultRowHeight="12.75"/>
  <cols>
    <col min="1" max="1" width="5.7109375" style="769" customWidth="1"/>
    <col min="2" max="11" width="9.140625" style="769" customWidth="1"/>
    <col min="12" max="12" width="5.5703125" style="769" bestFit="1" customWidth="1"/>
    <col min="13" max="13" width="6.85546875" style="769" bestFit="1" customWidth="1"/>
    <col min="14" max="14" width="10.85546875" style="769" bestFit="1" customWidth="1"/>
    <col min="15" max="15" width="1.85546875" style="769" customWidth="1"/>
    <col min="16" max="16" width="9.140625" style="769"/>
    <col min="17" max="17" width="2.28515625" style="769" customWidth="1"/>
    <col min="18" max="16384" width="9.140625" style="271"/>
  </cols>
  <sheetData>
    <row r="1" spans="1:16" ht="13.5">
      <c r="B1" s="811"/>
      <c r="C1" s="811"/>
      <c r="D1" s="811"/>
      <c r="E1" s="811"/>
      <c r="F1" s="811"/>
      <c r="G1" s="811"/>
      <c r="H1" s="811"/>
      <c r="I1" s="811"/>
      <c r="J1" s="811"/>
      <c r="K1" s="811"/>
      <c r="L1" s="811"/>
      <c r="M1" s="880"/>
      <c r="N1" s="880"/>
      <c r="O1" s="880"/>
      <c r="P1" s="678"/>
    </row>
    <row r="2" spans="1:16" ht="13.5">
      <c r="A2" s="919" t="s">
        <v>1598</v>
      </c>
      <c r="B2" s="39"/>
      <c r="C2" s="39"/>
      <c r="D2" s="39"/>
      <c r="E2" s="39"/>
      <c r="F2" s="39"/>
      <c r="G2" s="39"/>
      <c r="H2" s="39"/>
      <c r="I2" s="39"/>
      <c r="J2" s="39"/>
      <c r="K2" s="39"/>
      <c r="L2" s="811"/>
      <c r="M2" s="880"/>
      <c r="N2" s="880"/>
      <c r="O2" s="880"/>
      <c r="P2" s="678"/>
    </row>
    <row r="3" spans="1:16" ht="13.5">
      <c r="B3" s="39"/>
      <c r="C3" s="39"/>
      <c r="D3" s="39"/>
      <c r="E3" s="39"/>
      <c r="F3" s="39"/>
      <c r="G3" s="39"/>
      <c r="H3" s="39"/>
      <c r="I3" s="39"/>
      <c r="J3" s="39"/>
      <c r="K3" s="39"/>
      <c r="L3" s="811"/>
      <c r="M3" s="880"/>
      <c r="N3" s="880"/>
      <c r="O3" s="880"/>
      <c r="P3" s="678"/>
    </row>
    <row r="4" spans="1:16" ht="13.5" customHeight="1">
      <c r="A4" s="1743" t="s">
        <v>1599</v>
      </c>
      <c r="B4" s="39"/>
      <c r="C4" s="39"/>
      <c r="D4" s="39"/>
      <c r="E4" s="39"/>
      <c r="F4" s="39"/>
      <c r="G4" s="39"/>
      <c r="H4" s="39"/>
      <c r="I4" s="39"/>
      <c r="J4" s="39"/>
      <c r="K4" s="39"/>
      <c r="L4" s="811"/>
      <c r="M4" s="880"/>
      <c r="N4" s="880"/>
      <c r="O4" s="880"/>
      <c r="P4" s="678"/>
    </row>
    <row r="5" spans="1:16" ht="13.5">
      <c r="A5" s="880"/>
      <c r="B5" s="39"/>
      <c r="C5" s="39"/>
      <c r="D5" s="39"/>
      <c r="E5" s="39"/>
      <c r="G5" s="39"/>
      <c r="H5" s="39"/>
      <c r="I5" s="39"/>
      <c r="J5" s="39"/>
      <c r="K5" s="39"/>
      <c r="L5" s="41"/>
      <c r="M5" s="880"/>
      <c r="N5" s="880"/>
      <c r="O5" s="880"/>
      <c r="P5" s="678"/>
    </row>
    <row r="6" spans="1:16" ht="13.5">
      <c r="A6" s="959">
        <v>10.01</v>
      </c>
      <c r="B6" s="1744" t="s">
        <v>1600</v>
      </c>
      <c r="C6" s="1745"/>
      <c r="D6" s="1745"/>
      <c r="E6" s="1745"/>
      <c r="G6" s="1746"/>
      <c r="H6" s="1745"/>
      <c r="I6" s="1745"/>
      <c r="J6" s="1745"/>
      <c r="K6" s="1745"/>
      <c r="L6" s="1745"/>
      <c r="M6" s="1747"/>
      <c r="N6" s="880"/>
      <c r="O6" s="880"/>
      <c r="P6" s="678"/>
    </row>
    <row r="7" spans="1:16" ht="13.5" customHeight="1">
      <c r="A7" s="41"/>
      <c r="B7" s="39"/>
      <c r="C7" s="39"/>
      <c r="D7" s="39"/>
      <c r="E7" s="39"/>
      <c r="F7" s="39"/>
      <c r="G7" s="1748"/>
      <c r="H7" s="39"/>
      <c r="I7" s="39"/>
      <c r="J7" s="39"/>
      <c r="K7" s="39"/>
      <c r="L7" s="880"/>
      <c r="M7" s="880"/>
      <c r="N7" s="880"/>
      <c r="O7" s="880"/>
      <c r="P7" s="678"/>
    </row>
    <row r="8" spans="1:16" ht="13.5" customHeight="1">
      <c r="A8" s="41"/>
      <c r="B8" s="953"/>
      <c r="C8" s="953"/>
      <c r="D8" s="953"/>
      <c r="E8" s="953"/>
      <c r="F8" s="953"/>
      <c r="G8" s="953"/>
      <c r="H8" s="953"/>
      <c r="I8" s="953"/>
      <c r="J8" s="953"/>
      <c r="K8" s="953"/>
      <c r="L8" s="880"/>
      <c r="M8" s="880"/>
      <c r="N8" s="880"/>
      <c r="O8" s="880"/>
      <c r="P8" s="678"/>
    </row>
    <row r="9" spans="1:16" ht="13.5" customHeight="1">
      <c r="B9" s="2462" t="s">
        <v>1601</v>
      </c>
      <c r="C9" s="2462"/>
      <c r="D9" s="2462"/>
      <c r="E9" s="2462"/>
      <c r="F9" s="2462"/>
      <c r="G9" s="2462"/>
      <c r="H9" s="2462"/>
      <c r="I9" s="2462"/>
      <c r="J9" s="2462"/>
      <c r="K9" s="2462"/>
      <c r="L9" s="2462"/>
      <c r="M9" s="2462"/>
      <c r="N9" s="880"/>
      <c r="O9" s="880"/>
      <c r="P9" s="678"/>
    </row>
    <row r="10" spans="1:16" ht="13.5" customHeight="1">
      <c r="A10" s="41"/>
      <c r="B10" s="39"/>
      <c r="C10" s="39"/>
      <c r="D10" s="39"/>
      <c r="E10" s="39"/>
      <c r="F10" s="39"/>
      <c r="G10" s="39"/>
      <c r="H10" s="39"/>
      <c r="I10" s="39"/>
      <c r="J10" s="39"/>
      <c r="K10" s="39"/>
      <c r="L10" s="39"/>
      <c r="M10" s="39"/>
      <c r="N10" s="880"/>
      <c r="O10" s="880"/>
      <c r="P10" s="1749"/>
    </row>
    <row r="11" spans="1:16" ht="13.5" customHeight="1">
      <c r="A11" s="959">
        <f>A6+0.01</f>
        <v>10.02</v>
      </c>
      <c r="B11" s="2238" t="s">
        <v>1602</v>
      </c>
      <c r="C11" s="2238"/>
      <c r="D11" s="2238"/>
      <c r="E11" s="2238"/>
      <c r="F11" s="2238"/>
      <c r="G11" s="2238"/>
      <c r="H11" s="2238"/>
      <c r="I11" s="2238"/>
      <c r="J11" s="2238"/>
      <c r="K11" s="2238"/>
      <c r="L11" s="1450" t="s">
        <v>1603</v>
      </c>
      <c r="M11" s="1450" t="s">
        <v>1604</v>
      </c>
      <c r="N11" s="880"/>
      <c r="O11" s="880"/>
      <c r="P11" s="1750"/>
    </row>
    <row r="12" spans="1:16" ht="13.5" customHeight="1">
      <c r="A12" s="39"/>
      <c r="B12" s="2238"/>
      <c r="C12" s="2238"/>
      <c r="D12" s="2238"/>
      <c r="E12" s="2238"/>
      <c r="F12" s="2238"/>
      <c r="G12" s="2238"/>
      <c r="H12" s="2238"/>
      <c r="I12" s="2238"/>
      <c r="J12" s="2238"/>
      <c r="K12" s="2238"/>
      <c r="L12" s="880"/>
      <c r="M12" s="880"/>
      <c r="N12" s="880"/>
      <c r="O12" s="880"/>
      <c r="P12" s="678"/>
    </row>
    <row r="13" spans="1:16" ht="13.5" customHeight="1">
      <c r="A13" s="39"/>
      <c r="B13" s="39"/>
      <c r="C13" s="953"/>
      <c r="D13" s="953"/>
      <c r="E13" s="953"/>
      <c r="F13" s="953"/>
      <c r="G13" s="953"/>
      <c r="H13" s="953"/>
      <c r="I13" s="953"/>
      <c r="J13" s="953"/>
      <c r="K13" s="953"/>
      <c r="L13" s="953"/>
      <c r="M13" s="880"/>
      <c r="N13" s="880"/>
      <c r="O13" s="880"/>
      <c r="P13" s="1749"/>
    </row>
    <row r="14" spans="1:16" ht="13.5" customHeight="1">
      <c r="A14" s="1449">
        <f>A11+0.01</f>
        <v>10.029999999999999</v>
      </c>
      <c r="B14" s="2238" t="s">
        <v>1605</v>
      </c>
      <c r="C14" s="2238"/>
      <c r="D14" s="2238"/>
      <c r="E14" s="2238"/>
      <c r="F14" s="2238"/>
      <c r="G14" s="2238"/>
      <c r="H14" s="2238"/>
      <c r="I14" s="2238"/>
      <c r="J14" s="2238"/>
      <c r="K14" s="2238"/>
      <c r="L14" s="1450" t="s">
        <v>1603</v>
      </c>
      <c r="M14" s="1450" t="s">
        <v>1604</v>
      </c>
      <c r="N14" s="880"/>
      <c r="O14" s="880"/>
      <c r="P14" s="1750"/>
    </row>
    <row r="15" spans="1:16" ht="13.5" customHeight="1">
      <c r="A15" s="39"/>
      <c r="B15" s="2238"/>
      <c r="C15" s="2238"/>
      <c r="D15" s="2238"/>
      <c r="E15" s="2238"/>
      <c r="F15" s="2238"/>
      <c r="G15" s="2238"/>
      <c r="H15" s="2238"/>
      <c r="I15" s="2238"/>
      <c r="J15" s="2238"/>
      <c r="K15" s="2238"/>
      <c r="L15" s="880"/>
      <c r="M15" s="880"/>
      <c r="N15" s="880"/>
      <c r="O15" s="880"/>
      <c r="P15" s="678"/>
    </row>
    <row r="16" spans="1:16" ht="13.5" customHeight="1">
      <c r="A16" s="39"/>
      <c r="B16" s="39"/>
      <c r="C16" s="1171"/>
      <c r="D16" s="39"/>
      <c r="E16" s="39"/>
      <c r="F16" s="39"/>
      <c r="G16" s="39"/>
      <c r="H16" s="39"/>
      <c r="I16" s="39"/>
      <c r="J16" s="39"/>
      <c r="K16" s="39"/>
      <c r="L16" s="39"/>
      <c r="M16" s="880"/>
      <c r="N16" s="880"/>
      <c r="O16" s="880"/>
      <c r="P16" s="1749"/>
    </row>
    <row r="17" spans="1:16" ht="13.5" customHeight="1">
      <c r="A17" s="1449">
        <f>A14+0.01</f>
        <v>10.039999999999999</v>
      </c>
      <c r="B17" s="2238" t="s">
        <v>1606</v>
      </c>
      <c r="C17" s="2238"/>
      <c r="D17" s="2238"/>
      <c r="E17" s="2238"/>
      <c r="F17" s="2238"/>
      <c r="G17" s="2238"/>
      <c r="H17" s="2238"/>
      <c r="I17" s="2238"/>
      <c r="J17" s="2238"/>
      <c r="K17" s="2238"/>
      <c r="L17" s="1450" t="s">
        <v>1603</v>
      </c>
      <c r="M17" s="1450" t="s">
        <v>1604</v>
      </c>
      <c r="N17" s="880"/>
      <c r="O17" s="880"/>
      <c r="P17" s="1750"/>
    </row>
    <row r="18" spans="1:16" ht="13.5">
      <c r="A18" s="39"/>
      <c r="B18" s="2238"/>
      <c r="C18" s="2238"/>
      <c r="D18" s="2238"/>
      <c r="E18" s="2238"/>
      <c r="F18" s="2238"/>
      <c r="G18" s="2238"/>
      <c r="H18" s="2238"/>
      <c r="I18" s="2238"/>
      <c r="J18" s="2238"/>
      <c r="K18" s="2238"/>
      <c r="L18" s="880"/>
      <c r="M18" s="880"/>
      <c r="N18" s="880"/>
      <c r="O18" s="880"/>
      <c r="P18" s="678"/>
    </row>
    <row r="19" spans="1:16" ht="13.5">
      <c r="A19" s="39"/>
      <c r="B19" s="39"/>
      <c r="C19" s="1171"/>
      <c r="D19" s="39"/>
      <c r="E19" s="39"/>
      <c r="F19" s="39"/>
      <c r="G19" s="39"/>
      <c r="H19" s="39"/>
      <c r="I19" s="39"/>
      <c r="J19" s="39"/>
      <c r="K19" s="39"/>
      <c r="L19" s="39"/>
      <c r="M19" s="880"/>
      <c r="N19" s="880"/>
      <c r="O19" s="880"/>
      <c r="P19" s="1749"/>
    </row>
    <row r="20" spans="1:16" ht="27">
      <c r="A20" s="1449">
        <f>A17+0.01</f>
        <v>10.049999999999999</v>
      </c>
      <c r="B20" s="2238" t="s">
        <v>1607</v>
      </c>
      <c r="C20" s="2238"/>
      <c r="D20" s="2238"/>
      <c r="E20" s="2238"/>
      <c r="F20" s="2238"/>
      <c r="G20" s="2238"/>
      <c r="H20" s="2238"/>
      <c r="I20" s="2238"/>
      <c r="J20" s="2238"/>
      <c r="K20" s="2238"/>
      <c r="L20" s="1450" t="s">
        <v>1603</v>
      </c>
      <c r="M20" s="1450" t="s">
        <v>1604</v>
      </c>
      <c r="N20" s="880"/>
      <c r="O20" s="880"/>
      <c r="P20" s="1750"/>
    </row>
    <row r="21" spans="1:16" ht="13.5">
      <c r="A21" s="39"/>
      <c r="B21" s="2238"/>
      <c r="C21" s="2238"/>
      <c r="D21" s="2238"/>
      <c r="E21" s="2238"/>
      <c r="F21" s="2238"/>
      <c r="G21" s="2238"/>
      <c r="H21" s="2238"/>
      <c r="I21" s="2238"/>
      <c r="J21" s="2238"/>
      <c r="K21" s="2238"/>
      <c r="L21" s="880"/>
      <c r="M21" s="880"/>
      <c r="N21" s="880"/>
      <c r="O21" s="880"/>
      <c r="P21" s="678"/>
    </row>
    <row r="22" spans="1:16" ht="13.5">
      <c r="A22" s="39"/>
      <c r="B22" s="39"/>
      <c r="C22" s="967"/>
      <c r="D22" s="880"/>
      <c r="E22" s="1747"/>
      <c r="F22" s="953"/>
      <c r="G22" s="953"/>
      <c r="H22" s="953"/>
      <c r="I22" s="953"/>
      <c r="J22" s="953"/>
      <c r="K22" s="953"/>
      <c r="L22" s="880"/>
      <c r="M22" s="880"/>
      <c r="N22" s="880"/>
      <c r="O22" s="880"/>
      <c r="P22" s="1749"/>
    </row>
    <row r="23" spans="1:16" ht="27">
      <c r="A23" s="1449">
        <f>A20+0.01</f>
        <v>10.059999999999999</v>
      </c>
      <c r="B23" s="2651" t="s">
        <v>1608</v>
      </c>
      <c r="C23" s="2651"/>
      <c r="D23" s="2651"/>
      <c r="E23" s="2651"/>
      <c r="F23" s="2651"/>
      <c r="G23" s="2651"/>
      <c r="H23" s="2651"/>
      <c r="I23" s="2651"/>
      <c r="J23" s="2651"/>
      <c r="K23" s="2651"/>
      <c r="L23" s="1450" t="s">
        <v>1603</v>
      </c>
      <c r="M23" s="1450" t="s">
        <v>1604</v>
      </c>
      <c r="N23" s="880"/>
      <c r="O23" s="880"/>
      <c r="P23" s="1750"/>
    </row>
    <row r="24" spans="1:16" ht="13.5">
      <c r="A24" s="39"/>
      <c r="B24" s="2651"/>
      <c r="C24" s="2651"/>
      <c r="D24" s="2651"/>
      <c r="E24" s="2651"/>
      <c r="F24" s="2651"/>
      <c r="G24" s="2651"/>
      <c r="H24" s="2651"/>
      <c r="I24" s="2651"/>
      <c r="J24" s="2651"/>
      <c r="K24" s="2651"/>
      <c r="L24" s="880"/>
      <c r="M24" s="880"/>
      <c r="N24" s="880"/>
      <c r="O24" s="880"/>
      <c r="P24" s="678"/>
    </row>
    <row r="25" spans="1:16" ht="13.5">
      <c r="A25" s="39"/>
      <c r="B25" s="39"/>
      <c r="C25" s="880"/>
      <c r="D25" s="953"/>
      <c r="E25" s="953"/>
      <c r="F25" s="953"/>
      <c r="G25" s="953"/>
      <c r="H25" s="953"/>
      <c r="I25" s="953"/>
      <c r="J25" s="953"/>
      <c r="K25" s="953"/>
      <c r="L25" s="880"/>
      <c r="M25" s="880"/>
      <c r="N25" s="880"/>
      <c r="O25" s="880"/>
      <c r="P25" s="678"/>
    </row>
    <row r="26" spans="1:16" ht="13.5" customHeight="1">
      <c r="A26" s="1449">
        <f>A23+0.01</f>
        <v>10.069999999999999</v>
      </c>
      <c r="B26" s="2238" t="s">
        <v>1609</v>
      </c>
      <c r="C26" s="2238"/>
      <c r="D26" s="2238"/>
      <c r="E26" s="2238"/>
      <c r="F26" s="2238"/>
      <c r="G26" s="2238"/>
      <c r="H26" s="2238"/>
      <c r="I26" s="2238"/>
      <c r="J26" s="2238"/>
      <c r="K26" s="2238"/>
      <c r="L26" s="1450" t="s">
        <v>1603</v>
      </c>
      <c r="M26" s="1450" t="s">
        <v>1604</v>
      </c>
      <c r="N26" s="880"/>
      <c r="O26" s="880"/>
      <c r="P26" s="1749"/>
    </row>
    <row r="27" spans="1:16" ht="13.5">
      <c r="A27" s="39"/>
      <c r="B27" s="2238"/>
      <c r="C27" s="2238"/>
      <c r="D27" s="2238"/>
      <c r="E27" s="2238"/>
      <c r="F27" s="2238"/>
      <c r="G27" s="2238"/>
      <c r="H27" s="2238"/>
      <c r="I27" s="2238"/>
      <c r="J27" s="2238"/>
      <c r="K27" s="2238"/>
      <c r="L27" s="880"/>
      <c r="M27" s="880"/>
      <c r="N27" s="880"/>
      <c r="O27" s="880"/>
      <c r="P27" s="1750"/>
    </row>
    <row r="28" spans="1:16" ht="13.5">
      <c r="A28" s="39"/>
      <c r="B28" s="2238"/>
      <c r="C28" s="2238"/>
      <c r="D28" s="2238"/>
      <c r="E28" s="2238"/>
      <c r="F28" s="2238"/>
      <c r="G28" s="2238"/>
      <c r="H28" s="2238"/>
      <c r="I28" s="2238"/>
      <c r="J28" s="2238"/>
      <c r="K28" s="2238"/>
      <c r="L28" s="39"/>
      <c r="M28" s="880"/>
      <c r="N28" s="880"/>
      <c r="O28" s="880"/>
      <c r="P28" s="678"/>
    </row>
    <row r="29" spans="1:16" ht="13.5">
      <c r="A29" s="2649">
        <f>A26+0.01</f>
        <v>10.079999999999998</v>
      </c>
      <c r="B29" s="2652" t="s">
        <v>1610</v>
      </c>
      <c r="C29" s="2652"/>
      <c r="D29" s="2652"/>
      <c r="E29" s="2652"/>
      <c r="F29" s="2652"/>
      <c r="G29" s="2652"/>
      <c r="H29" s="2652"/>
      <c r="I29" s="2652"/>
      <c r="J29" s="2652"/>
      <c r="K29" s="2652"/>
      <c r="L29" s="2648" t="s">
        <v>1603</v>
      </c>
      <c r="M29" s="2648" t="s">
        <v>1604</v>
      </c>
      <c r="N29" s="880"/>
      <c r="O29" s="880"/>
      <c r="P29" s="1749"/>
    </row>
    <row r="30" spans="1:16" ht="13.5" customHeight="1">
      <c r="A30" s="2649"/>
      <c r="B30" s="2652"/>
      <c r="C30" s="2652"/>
      <c r="D30" s="2652"/>
      <c r="E30" s="2652"/>
      <c r="F30" s="2652"/>
      <c r="G30" s="2652"/>
      <c r="H30" s="2652"/>
      <c r="I30" s="2652"/>
      <c r="J30" s="2652"/>
      <c r="K30" s="2652"/>
      <c r="L30" s="2648"/>
      <c r="M30" s="2648"/>
      <c r="N30" s="880"/>
      <c r="O30" s="880"/>
      <c r="P30" s="1750"/>
    </row>
    <row r="31" spans="1:16" ht="13.5" customHeight="1">
      <c r="A31" s="39"/>
      <c r="B31" s="39"/>
      <c r="C31" s="967"/>
      <c r="D31" s="39"/>
      <c r="E31" s="39"/>
      <c r="F31" s="39"/>
      <c r="G31" s="39"/>
      <c r="H31" s="39"/>
      <c r="I31" s="39"/>
      <c r="J31" s="39"/>
      <c r="K31" s="39"/>
      <c r="L31" s="39"/>
      <c r="M31" s="880"/>
      <c r="N31" s="880"/>
      <c r="O31" s="880"/>
      <c r="P31" s="678"/>
    </row>
    <row r="32" spans="1:16" ht="13.5" customHeight="1">
      <c r="A32" s="2649">
        <f>A29+0.01</f>
        <v>10.089999999999998</v>
      </c>
      <c r="B32" s="2650" t="s">
        <v>1611</v>
      </c>
      <c r="C32" s="2650"/>
      <c r="D32" s="2650"/>
      <c r="E32" s="2650"/>
      <c r="F32" s="2650"/>
      <c r="G32" s="2650"/>
      <c r="H32" s="2650"/>
      <c r="I32" s="2650"/>
      <c r="J32" s="2650"/>
      <c r="K32" s="2650"/>
      <c r="L32" s="2648" t="s">
        <v>1603</v>
      </c>
      <c r="M32" s="2648" t="s">
        <v>1604</v>
      </c>
      <c r="N32" s="880"/>
      <c r="O32" s="880"/>
      <c r="P32" s="1749"/>
    </row>
    <row r="33" spans="1:16" ht="13.5">
      <c r="A33" s="2649"/>
      <c r="B33" s="2650"/>
      <c r="C33" s="2650"/>
      <c r="D33" s="2650"/>
      <c r="E33" s="2650"/>
      <c r="F33" s="2650"/>
      <c r="G33" s="2650"/>
      <c r="H33" s="2650"/>
      <c r="I33" s="2650"/>
      <c r="J33" s="2650"/>
      <c r="K33" s="2650"/>
      <c r="L33" s="2648"/>
      <c r="M33" s="2648"/>
      <c r="N33" s="880"/>
      <c r="O33" s="880"/>
      <c r="P33" s="1750"/>
    </row>
    <row r="34" spans="1:16" ht="13.5">
      <c r="A34" s="39"/>
      <c r="B34" s="39"/>
      <c r="C34" s="967"/>
      <c r="D34" s="39"/>
      <c r="E34" s="39"/>
      <c r="F34" s="39"/>
      <c r="G34" s="39"/>
      <c r="H34" s="39"/>
      <c r="I34" s="39"/>
      <c r="J34" s="39"/>
      <c r="K34" s="39"/>
      <c r="L34" s="39"/>
      <c r="M34" s="880"/>
      <c r="N34" s="880"/>
      <c r="O34" s="880"/>
      <c r="P34" s="678"/>
    </row>
    <row r="35" spans="1:16" ht="27">
      <c r="A35" s="1449">
        <f>A32+0.01</f>
        <v>10.099999999999998</v>
      </c>
      <c r="B35" s="2651" t="s">
        <v>1612</v>
      </c>
      <c r="C35" s="2651"/>
      <c r="D35" s="2651"/>
      <c r="E35" s="2651"/>
      <c r="F35" s="2651"/>
      <c r="G35" s="2651"/>
      <c r="H35" s="2651"/>
      <c r="I35" s="2651"/>
      <c r="J35" s="2651"/>
      <c r="K35" s="2651"/>
      <c r="L35" s="1450" t="s">
        <v>1603</v>
      </c>
      <c r="M35" s="1450" t="s">
        <v>1604</v>
      </c>
      <c r="N35" s="880"/>
      <c r="O35" s="880"/>
      <c r="P35" s="1749"/>
    </row>
    <row r="36" spans="1:16" ht="13.5">
      <c r="A36" s="39"/>
      <c r="B36" s="2651"/>
      <c r="C36" s="2651"/>
      <c r="D36" s="2651"/>
      <c r="E36" s="2651"/>
      <c r="F36" s="2651"/>
      <c r="G36" s="2651"/>
      <c r="H36" s="2651"/>
      <c r="I36" s="2651"/>
      <c r="J36" s="2651"/>
      <c r="K36" s="2651"/>
      <c r="L36" s="880"/>
      <c r="M36" s="880"/>
      <c r="N36" s="880"/>
      <c r="O36" s="880"/>
      <c r="P36" s="1750"/>
    </row>
    <row r="37" spans="1:16" ht="13.5">
      <c r="A37" s="39"/>
      <c r="B37" s="39"/>
      <c r="C37" s="880"/>
      <c r="D37" s="39"/>
      <c r="E37" s="39"/>
      <c r="F37" s="39"/>
      <c r="G37" s="39"/>
      <c r="H37" s="39"/>
      <c r="I37" s="39"/>
      <c r="J37" s="39"/>
      <c r="K37" s="39"/>
      <c r="L37" s="39"/>
      <c r="M37" s="880"/>
      <c r="N37" s="880"/>
      <c r="O37" s="880"/>
      <c r="P37" s="678"/>
    </row>
    <row r="38" spans="1:16" ht="27">
      <c r="A38" s="1449">
        <f>A35+0.01</f>
        <v>10.109999999999998</v>
      </c>
      <c r="B38" s="1171" t="str">
        <f>CONCATENATE("A resposta a uma das perguntas (",A11,")"," a ","(",TEXT(A35,"0,00"),") é positiva?")</f>
        <v>A resposta a uma das perguntas (10,02) a (10,10) é positiva?</v>
      </c>
      <c r="C38" s="880"/>
      <c r="D38" s="953"/>
      <c r="E38" s="953"/>
      <c r="F38" s="953"/>
      <c r="G38" s="953"/>
      <c r="H38" s="953"/>
      <c r="I38" s="953"/>
      <c r="J38" s="953"/>
      <c r="K38" s="953"/>
      <c r="L38" s="1450" t="s">
        <v>1603</v>
      </c>
      <c r="M38" s="1751" t="s">
        <v>1604</v>
      </c>
      <c r="N38" s="880" t="s">
        <v>1613</v>
      </c>
      <c r="O38" s="880"/>
      <c r="P38" s="1752"/>
    </row>
    <row r="39" spans="1:16">
      <c r="A39" s="1753"/>
      <c r="B39" s="1753"/>
      <c r="C39" s="1753"/>
      <c r="D39" s="1753"/>
      <c r="E39" s="1753"/>
      <c r="F39" s="1753"/>
      <c r="G39" s="1753"/>
      <c r="H39" s="1753"/>
      <c r="I39" s="1753"/>
      <c r="J39" s="1753"/>
      <c r="K39" s="1753"/>
      <c r="L39" s="1753"/>
      <c r="M39" s="1753"/>
      <c r="P39" s="1594"/>
    </row>
  </sheetData>
  <customSheetViews>
    <customSheetView guid="{9C153D9E-615C-443B-9CD7-551163282F03}" scale="160" showPageBreaks="1" printArea="1" view="pageBreakPreview" topLeftCell="A28">
      <selection activeCell="H38" sqref="H38"/>
      <pageMargins left="0" right="0" top="0" bottom="0" header="0" footer="0"/>
      <pageSetup firstPageNumber="23" orientation="landscape" r:id="rId1"/>
      <headerFooter>
        <oddFooter>&amp;C&amp;P</oddFooter>
      </headerFooter>
    </customSheetView>
    <customSheetView guid="{BE9F68F7-D81B-4526-9959-D871EC50BDFF}" scale="160" showPageBreaks="1" printArea="1" view="pageBreakPreview" topLeftCell="A28">
      <selection activeCell="H38" sqref="H38"/>
      <pageMargins left="0" right="0" top="0" bottom="0" header="0" footer="0"/>
      <pageSetup firstPageNumber="23" orientation="landscape" r:id="rId2"/>
      <headerFooter>
        <oddFooter>&amp;C&amp;P</oddFooter>
      </headerFooter>
    </customSheetView>
    <customSheetView guid="{EF790C5B-80DA-4544-9EB7-EFE0323B2298}" scale="160" showPageBreaks="1" printArea="1" view="pageBreakPreview" topLeftCell="A27">
      <selection activeCell="B32" sqref="B32:K33"/>
      <pageMargins left="0" right="0" top="0" bottom="0" header="0" footer="0"/>
      <pageSetup firstPageNumber="23" orientation="landscape" r:id="rId3"/>
      <headerFooter>
        <oddFooter>&amp;C&amp;P</oddFooter>
      </headerFooter>
    </customSheetView>
    <customSheetView guid="{C9D2DBB1-CD01-4732-8C86-64BE16C94753}" scale="110" showPageBreaks="1" printArea="1" view="pageBreakPreview">
      <pageMargins left="0" right="0" top="0" bottom="0" header="0" footer="0"/>
      <pageSetup firstPageNumber="23" orientation="landscape" r:id="rId4"/>
      <headerFooter>
        <oddFooter>&amp;C&amp;P</oddFooter>
      </headerFooter>
    </customSheetView>
    <customSheetView guid="{BFEC163F-7C4E-49B7-9F32-15225772E72F}" scale="110" showPageBreaks="1" printArea="1" view="pageBreakPreview" topLeftCell="A22">
      <selection activeCell="B35" sqref="B35:K36"/>
      <pageMargins left="0" right="0" top="0" bottom="0" header="0" footer="0"/>
      <pageSetup firstPageNumber="23" orientation="landscape" r:id="rId5"/>
      <headerFooter>
        <oddFooter>&amp;C&amp;P</oddFooter>
      </headerFooter>
    </customSheetView>
    <customSheetView guid="{5529DB6B-163A-4048-9107-267B30B97DF3}" scale="110" showPageBreaks="1" printArea="1" view="pageBreakPreview" topLeftCell="A13">
      <selection activeCell="B35" sqref="B35:K36"/>
      <pageMargins left="0" right="0" top="0" bottom="0" header="0" footer="0"/>
      <pageSetup firstPageNumber="23" orientation="landscape" r:id="rId6"/>
      <headerFooter>
        <oddFooter>&amp;C&amp;P</oddFooter>
      </headerFooter>
    </customSheetView>
    <customSheetView guid="{9B0763AA-FA4B-479A-900C-C113E8BEEFEB}" scale="110" showPageBreaks="1" printArea="1" view="pageBreakPreview" topLeftCell="A21">
      <selection activeCell="B35" sqref="B35:K36"/>
      <pageMargins left="0" right="0" top="0" bottom="0" header="0" footer="0"/>
      <pageSetup firstPageNumber="23" orientation="landscape" r:id="rId7"/>
      <headerFooter>
        <oddFooter>&amp;C&amp;P</oddFooter>
      </headerFooter>
    </customSheetView>
    <customSheetView guid="{89903799-8228-4A6D-8A81-7F80BC61226D}" scale="200" showPageBreaks="1" printArea="1" topLeftCell="A32">
      <selection activeCell="B38" sqref="B38"/>
      <pageMargins left="0" right="0" top="0" bottom="0" header="0" footer="0"/>
      <pageSetup firstPageNumber="23" orientation="landscape" r:id="rId8"/>
      <headerFooter>
        <oddFooter>&amp;C&amp;P</oddFooter>
      </headerFooter>
    </customSheetView>
    <customSheetView guid="{2524630E-605A-4616-AD5D-6CF7B1E9752C}" scale="160" showPageBreaks="1" printArea="1" view="pageBreakPreview" topLeftCell="A28">
      <selection activeCell="C31" sqref="C1:C1048576"/>
      <pageMargins left="0" right="0" top="0" bottom="0" header="0" footer="0"/>
      <pageSetup firstPageNumber="23" orientation="landscape" r:id="rId9"/>
      <headerFooter>
        <oddFooter>&amp;C&amp;P</oddFooter>
      </headerFooter>
    </customSheetView>
  </customSheetViews>
  <mergeCells count="16">
    <mergeCell ref="B9:M9"/>
    <mergeCell ref="B11:K12"/>
    <mergeCell ref="B14:K15"/>
    <mergeCell ref="B17:K18"/>
    <mergeCell ref="B20:K21"/>
    <mergeCell ref="B23:K24"/>
    <mergeCell ref="B35:K36"/>
    <mergeCell ref="B26:K28"/>
    <mergeCell ref="A29:A30"/>
    <mergeCell ref="B29:K30"/>
    <mergeCell ref="L29:L30"/>
    <mergeCell ref="M29:M30"/>
    <mergeCell ref="A32:A33"/>
    <mergeCell ref="B32:K33"/>
    <mergeCell ref="L32:L33"/>
    <mergeCell ref="M32:M33"/>
  </mergeCells>
  <pageMargins left="0.314" right="0.314" top="0.11799999999999999" bottom="0.27500000000000002" header="0.157" footer="0.11799999999999999"/>
  <pageSetup firstPageNumber="23" orientation="landscape" r:id="rId10"/>
  <headerFooter>
    <oddFooter>&amp;C&amp;P</oddFooter>
  </headerFooter>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700-000000000000}">
  <dimension ref="A1:DN37"/>
  <sheetViews>
    <sheetView showRuler="0" view="pageLayout" topLeftCell="P1" zoomScale="130" zoomScaleNormal="100" zoomScaleSheetLayoutView="90" zoomScalePageLayoutView="130" workbookViewId="0">
      <selection activeCell="Q22" sqref="Q22:R23"/>
    </sheetView>
  </sheetViews>
  <sheetFormatPr defaultColWidth="11.42578125" defaultRowHeight="12.75"/>
  <cols>
    <col min="1" max="1" width="4" style="769" customWidth="1"/>
    <col min="2" max="2" width="9" style="769" customWidth="1"/>
    <col min="3" max="3" width="10" style="769" customWidth="1"/>
    <col min="4" max="4" width="6.7109375" style="769" customWidth="1"/>
    <col min="5" max="5" width="7" style="769" customWidth="1"/>
    <col min="6" max="6" width="11" style="769" customWidth="1"/>
    <col min="7" max="7" width="6.7109375" style="769" customWidth="1"/>
    <col min="8" max="8" width="8.7109375" style="769" customWidth="1"/>
    <col min="9" max="9" width="8" style="769" customWidth="1"/>
    <col min="10" max="10" width="7.7109375" style="769" customWidth="1"/>
    <col min="11" max="11" width="6.7109375" style="769" customWidth="1"/>
    <col min="12" max="12" width="7" style="769" customWidth="1"/>
    <col min="13" max="13" width="10" style="769" customWidth="1"/>
    <col min="14" max="14" width="10.42578125" style="769" customWidth="1"/>
    <col min="15" max="15" width="14" style="769" customWidth="1"/>
    <col min="16" max="16" width="4" style="769" customWidth="1"/>
    <col min="17" max="17" width="11.42578125" style="769" customWidth="1"/>
    <col min="18" max="18" width="7.5703125" style="769" customWidth="1"/>
    <col min="19" max="19" width="9.5703125" style="769" customWidth="1"/>
    <col min="20" max="20" width="9.42578125" style="769" customWidth="1"/>
    <col min="21" max="21" width="7.7109375" style="769" customWidth="1"/>
    <col min="22" max="22" width="7" style="769" customWidth="1"/>
    <col min="23" max="23" width="8" style="769" customWidth="1"/>
    <col min="24" max="24" width="11.28515625" style="769" customWidth="1"/>
    <col min="25" max="25" width="7.28515625" style="769" customWidth="1"/>
    <col min="26" max="26" width="8.5703125" style="769" customWidth="1"/>
    <col min="27" max="27" width="9.28515625" style="769" customWidth="1"/>
    <col min="28" max="28" width="12" style="769" customWidth="1"/>
    <col min="29" max="29" width="22" style="769" customWidth="1"/>
    <col min="30" max="30" width="4" style="769" customWidth="1"/>
    <col min="31" max="31" width="9.85546875" style="769" customWidth="1"/>
    <col min="32" max="32" width="12.42578125" style="769" customWidth="1"/>
    <col min="33" max="33" width="10" style="769" customWidth="1"/>
    <col min="34" max="34" width="12" style="769" customWidth="1"/>
    <col min="35" max="35" width="10.28515625" style="769" customWidth="1"/>
    <col min="36" max="36" width="10.5703125" style="769" customWidth="1"/>
    <col min="37" max="37" width="11" style="769" customWidth="1"/>
    <col min="38" max="38" width="12.140625" style="769" customWidth="1"/>
    <col min="39" max="39" width="22.28515625" style="769" customWidth="1"/>
    <col min="40" max="40" width="18.42578125" style="769" customWidth="1"/>
    <col min="41" max="41" width="4" style="769" customWidth="1"/>
    <col min="42" max="45" width="6.28515625" style="769" customWidth="1"/>
    <col min="46" max="56" width="5.140625" style="769" customWidth="1"/>
    <col min="57" max="57" width="6" style="769" customWidth="1"/>
    <col min="58" max="61" width="5.140625" style="769" customWidth="1"/>
    <col min="62" max="62" width="13.28515625" style="769" customWidth="1"/>
    <col min="63" max="63" width="13" style="769" customWidth="1"/>
    <col min="64" max="64" width="12.5703125" style="769" customWidth="1"/>
    <col min="65" max="65" width="13" style="769" customWidth="1"/>
    <col min="66" max="66" width="4" style="769" customWidth="1"/>
    <col min="67" max="67" width="12.5703125" style="769" customWidth="1"/>
    <col min="68" max="72" width="13" style="769" customWidth="1"/>
    <col min="73" max="74" width="13.140625" style="769" customWidth="1"/>
    <col min="75" max="75" width="16.42578125" style="769" customWidth="1"/>
    <col min="76" max="76" width="8.7109375" style="769" customWidth="1"/>
    <col min="77" max="77" width="11.42578125" style="769" customWidth="1"/>
    <col min="78" max="78" width="11.7109375" style="769" customWidth="1"/>
    <col min="79" max="79" width="4" style="769" customWidth="1"/>
    <col min="80" max="80" width="19.85546875" style="769" customWidth="1"/>
    <col min="81" max="96" width="6.7109375" style="769" customWidth="1"/>
    <col min="97" max="97" width="4" style="769" customWidth="1"/>
    <col min="98" max="110" width="8" style="769" customWidth="1"/>
    <col min="111" max="113" width="8" style="271" customWidth="1"/>
    <col min="114" max="114" width="9.28515625" style="769" customWidth="1"/>
    <col min="115" max="115" width="10" style="769" customWidth="1"/>
    <col min="116" max="118" width="10.85546875" style="769" customWidth="1"/>
    <col min="119" max="16384" width="11.42578125" style="271"/>
  </cols>
  <sheetData>
    <row r="1" spans="1:118">
      <c r="A1" s="1016" t="s">
        <v>1598</v>
      </c>
      <c r="P1" s="1016" t="s">
        <v>1598</v>
      </c>
      <c r="AD1" s="1016" t="s">
        <v>1598</v>
      </c>
      <c r="AO1" s="1016" t="s">
        <v>1614</v>
      </c>
      <c r="AS1" s="16" t="s">
        <v>1615</v>
      </c>
      <c r="BN1" s="1016" t="s">
        <v>1598</v>
      </c>
      <c r="CA1" s="1016" t="s">
        <v>1598</v>
      </c>
      <c r="CS1" s="1016" t="s">
        <v>1598</v>
      </c>
      <c r="CT1" s="1016"/>
    </row>
    <row r="2" spans="1:118">
      <c r="A2" s="1159" t="s">
        <v>1616</v>
      </c>
      <c r="P2" s="1159" t="s">
        <v>1616</v>
      </c>
      <c r="AD2" s="1159" t="s">
        <v>1616</v>
      </c>
      <c r="AO2" s="1159" t="s">
        <v>1616</v>
      </c>
      <c r="BN2" s="2676" t="s">
        <v>1616</v>
      </c>
      <c r="BO2" s="2676"/>
      <c r="BP2" s="2676"/>
      <c r="BQ2" s="2676"/>
      <c r="BR2" s="2676"/>
      <c r="BS2" s="2676"/>
      <c r="CA2" s="1159" t="s">
        <v>1616</v>
      </c>
      <c r="CS2" s="1159" t="s">
        <v>1616</v>
      </c>
      <c r="CT2" s="1159"/>
    </row>
    <row r="3" spans="1:118" ht="15.75">
      <c r="A3" s="1160"/>
      <c r="B3" s="784" t="s">
        <v>1617</v>
      </c>
      <c r="C3" s="784"/>
      <c r="E3" s="1479"/>
      <c r="F3" s="784"/>
      <c r="I3" s="770"/>
      <c r="J3" s="770"/>
      <c r="P3" s="1160"/>
      <c r="AD3" s="1160"/>
      <c r="AO3" s="1160"/>
      <c r="BN3" s="1160"/>
      <c r="CA3" s="1160"/>
      <c r="CS3" s="1160"/>
      <c r="CT3" s="1159"/>
    </row>
    <row r="4" spans="1:118" ht="15" customHeight="1">
      <c r="A4" s="1754"/>
      <c r="P4" s="1754"/>
      <c r="AD4" s="1754"/>
      <c r="AO4" s="1754"/>
      <c r="BN4" s="1754"/>
      <c r="CA4" s="1754"/>
      <c r="CS4" s="1754"/>
    </row>
    <row r="5" spans="1:118" ht="13.5" customHeight="1">
      <c r="A5" s="2498" t="s">
        <v>1618</v>
      </c>
      <c r="B5" s="1121">
        <f>10.13</f>
        <v>10.130000000000001</v>
      </c>
      <c r="C5" s="1121">
        <f>B5+0.01</f>
        <v>10.14</v>
      </c>
      <c r="D5" s="1121">
        <f>C5+0.01</f>
        <v>10.15</v>
      </c>
      <c r="E5" s="1755"/>
      <c r="F5" s="1121">
        <f>D5+0.01</f>
        <v>10.16</v>
      </c>
      <c r="G5" s="1756"/>
      <c r="H5" s="1120">
        <f>F5+0.01</f>
        <v>10.17</v>
      </c>
      <c r="I5" s="2706">
        <f>H5+0.01</f>
        <v>10.18</v>
      </c>
      <c r="J5" s="2707"/>
      <c r="K5" s="2706">
        <f>I5+0.01</f>
        <v>10.19</v>
      </c>
      <c r="L5" s="2707"/>
      <c r="M5" s="1757">
        <f>K5+0.01</f>
        <v>10.199999999999999</v>
      </c>
      <c r="N5" s="1117">
        <f>M5+0.01</f>
        <v>10.209999999999999</v>
      </c>
      <c r="O5" s="1117">
        <f>N5+0.01</f>
        <v>10.219999999999999</v>
      </c>
      <c r="P5" s="2498" t="s">
        <v>1618</v>
      </c>
      <c r="Q5" s="1758">
        <f>O5+0.01</f>
        <v>10.229999999999999</v>
      </c>
      <c r="R5" s="1759"/>
      <c r="S5" s="1117">
        <f>Q5+0.01</f>
        <v>10.239999999999998</v>
      </c>
      <c r="T5" s="1117">
        <f>S5+0.01</f>
        <v>10.249999999999998</v>
      </c>
      <c r="U5" s="1117">
        <f>T5+0.01</f>
        <v>10.259999999999998</v>
      </c>
      <c r="V5" s="1760">
        <f>U5+0.01</f>
        <v>10.269999999999998</v>
      </c>
      <c r="W5" s="1760">
        <f t="shared" ref="W5:AB5" si="0">V5+0.01</f>
        <v>10.279999999999998</v>
      </c>
      <c r="X5" s="1117">
        <f t="shared" si="0"/>
        <v>10.289999999999997</v>
      </c>
      <c r="Y5" s="1760">
        <f t="shared" si="0"/>
        <v>10.299999999999997</v>
      </c>
      <c r="Z5" s="1760">
        <f t="shared" si="0"/>
        <v>10.309999999999997</v>
      </c>
      <c r="AA5" s="1760">
        <f t="shared" si="0"/>
        <v>10.319999999999997</v>
      </c>
      <c r="AB5" s="1757">
        <f t="shared" si="0"/>
        <v>10.329999999999997</v>
      </c>
      <c r="AC5" s="1760">
        <f>AB5+0.01</f>
        <v>10.339999999999996</v>
      </c>
      <c r="AD5" s="2498" t="s">
        <v>1618</v>
      </c>
      <c r="AE5" s="1117">
        <f>AC5+0.01</f>
        <v>10.349999999999996</v>
      </c>
      <c r="AF5" s="1117">
        <f>AE5+0.01</f>
        <v>10.359999999999996</v>
      </c>
      <c r="AG5" s="1117">
        <f t="shared" ref="AG5:AL5" si="1">AF5+0.01</f>
        <v>10.369999999999996</v>
      </c>
      <c r="AH5" s="1117">
        <f t="shared" si="1"/>
        <v>10.379999999999995</v>
      </c>
      <c r="AI5" s="1117">
        <f t="shared" si="1"/>
        <v>10.389999999999995</v>
      </c>
      <c r="AJ5" s="1117">
        <f t="shared" si="1"/>
        <v>10.399999999999995</v>
      </c>
      <c r="AK5" s="1117">
        <f t="shared" si="1"/>
        <v>10.409999999999995</v>
      </c>
      <c r="AL5" s="1117">
        <f t="shared" si="1"/>
        <v>10.419999999999995</v>
      </c>
      <c r="AM5" s="1121">
        <f>AL5+0.01</f>
        <v>10.429999999999994</v>
      </c>
      <c r="AN5" s="1117">
        <f>AM5+0.01</f>
        <v>10.439999999999994</v>
      </c>
      <c r="AO5" s="2498" t="s">
        <v>1618</v>
      </c>
      <c r="AP5" s="2460">
        <f>AN5+0.01</f>
        <v>10.449999999999994</v>
      </c>
      <c r="AQ5" s="2491"/>
      <c r="AR5" s="2491"/>
      <c r="AS5" s="2491"/>
      <c r="AT5" s="2491"/>
      <c r="AU5" s="2491"/>
      <c r="AV5" s="2491"/>
      <c r="AW5" s="2491"/>
      <c r="AX5" s="2491"/>
      <c r="AY5" s="2491"/>
      <c r="AZ5" s="2491"/>
      <c r="BA5" s="2491"/>
      <c r="BB5" s="2491"/>
      <c r="BC5" s="2491"/>
      <c r="BD5" s="2491"/>
      <c r="BE5" s="2491"/>
      <c r="BF5" s="2491"/>
      <c r="BG5" s="2491"/>
      <c r="BH5" s="2491"/>
      <c r="BI5" s="2494"/>
      <c r="BJ5" s="1760">
        <f>AP5+0.01</f>
        <v>10.459999999999994</v>
      </c>
      <c r="BK5" s="1117">
        <f>BJ5+0.01</f>
        <v>10.469999999999994</v>
      </c>
      <c r="BL5" s="1117">
        <f t="shared" ref="BL5:BS5" si="2">BK5+0.01</f>
        <v>10.479999999999993</v>
      </c>
      <c r="BM5" s="1117">
        <f t="shared" si="2"/>
        <v>10.489999999999993</v>
      </c>
      <c r="BN5" s="2498" t="s">
        <v>1618</v>
      </c>
      <c r="BO5" s="1117">
        <f>BM5+0.01</f>
        <v>10.499999999999993</v>
      </c>
      <c r="BP5" s="1117">
        <f>BO5+0.01</f>
        <v>10.509999999999993</v>
      </c>
      <c r="BQ5" s="1117">
        <f t="shared" si="2"/>
        <v>10.519999999999992</v>
      </c>
      <c r="BR5" s="1117">
        <f t="shared" si="2"/>
        <v>10.529999999999992</v>
      </c>
      <c r="BS5" s="1117">
        <f t="shared" si="2"/>
        <v>10.539999999999992</v>
      </c>
      <c r="BT5" s="1760">
        <f>BS5+0.01</f>
        <v>10.549999999999992</v>
      </c>
      <c r="BU5" s="1760">
        <f>BT5+0.01</f>
        <v>10.559999999999992</v>
      </c>
      <c r="BV5" s="1760">
        <f>BU5+0.01</f>
        <v>10.569999999999991</v>
      </c>
      <c r="BW5" s="1760" t="str">
        <f>CONCATENATE(BV5, "a")</f>
        <v>10,57a</v>
      </c>
      <c r="BX5" s="1760" t="str">
        <f>CONCATENATE(BV5, "b")</f>
        <v>10,57b</v>
      </c>
      <c r="BY5" s="1121">
        <f>BV5+0.01</f>
        <v>10.579999999999991</v>
      </c>
      <c r="BZ5" s="1117">
        <f>BY5+0.01</f>
        <v>10.589999999999991</v>
      </c>
      <c r="CA5" s="2498" t="s">
        <v>1618</v>
      </c>
      <c r="CB5" s="1121">
        <f>BZ5+0.01</f>
        <v>10.599999999999991</v>
      </c>
      <c r="CC5" s="2460">
        <f>CB5+0.01</f>
        <v>10.609999999999991</v>
      </c>
      <c r="CD5" s="2491"/>
      <c r="CE5" s="2491"/>
      <c r="CF5" s="2491"/>
      <c r="CG5" s="2491"/>
      <c r="CH5" s="2491"/>
      <c r="CI5" s="2491"/>
      <c r="CJ5" s="2491"/>
      <c r="CK5" s="2491"/>
      <c r="CL5" s="2491"/>
      <c r="CM5" s="2491"/>
      <c r="CN5" s="2491"/>
      <c r="CO5" s="1120"/>
      <c r="CP5" s="1761"/>
      <c r="CQ5" s="1120"/>
      <c r="CR5" s="1122"/>
      <c r="CS5" s="2498" t="s">
        <v>1618</v>
      </c>
      <c r="CT5" s="1121">
        <f>CC5+0.01</f>
        <v>10.61999999999999</v>
      </c>
      <c r="CU5" s="1120"/>
      <c r="CV5" s="1120"/>
      <c r="CW5" s="1120"/>
      <c r="CX5" s="1120"/>
      <c r="CY5" s="1120"/>
      <c r="CZ5" s="1120"/>
      <c r="DA5" s="938"/>
      <c r="DB5" s="938"/>
      <c r="DC5" s="938"/>
      <c r="DD5" s="938"/>
      <c r="DE5" s="938"/>
      <c r="DF5" s="938"/>
      <c r="DG5" s="603"/>
      <c r="DH5" s="603"/>
      <c r="DI5" s="604"/>
      <c r="DJ5" s="1138" t="str">
        <f>CONCATENATE(CT5, "a")</f>
        <v>10,62a</v>
      </c>
      <c r="DK5" s="1139" t="str">
        <f>CONCATENATE(CT5, "b")</f>
        <v>10,62b</v>
      </c>
      <c r="DL5" s="1140"/>
      <c r="DM5" s="1140"/>
      <c r="DN5" s="1141"/>
    </row>
    <row r="6" spans="1:118" ht="15" customHeight="1">
      <c r="A6" s="2692"/>
      <c r="B6" s="2231" t="s">
        <v>1619</v>
      </c>
      <c r="C6" s="2231" t="s">
        <v>1620</v>
      </c>
      <c r="D6" s="2256" t="s">
        <v>1621</v>
      </c>
      <c r="E6" s="2258"/>
      <c r="F6" s="2256" t="s">
        <v>1622</v>
      </c>
      <c r="G6" s="2258"/>
      <c r="H6" s="2231" t="s">
        <v>1623</v>
      </c>
      <c r="I6" s="2256" t="s">
        <v>1624</v>
      </c>
      <c r="J6" s="2258"/>
      <c r="K6" s="2256" t="s">
        <v>1625</v>
      </c>
      <c r="L6" s="2258"/>
      <c r="M6" s="2257" t="s">
        <v>1626</v>
      </c>
      <c r="N6" s="2231" t="s">
        <v>1627</v>
      </c>
      <c r="O6" s="2231" t="s">
        <v>1628</v>
      </c>
      <c r="P6" s="2499"/>
      <c r="Q6" s="2256" t="s">
        <v>1629</v>
      </c>
      <c r="R6" s="2258"/>
      <c r="S6" s="2231" t="s">
        <v>1630</v>
      </c>
      <c r="T6" s="2231" t="s">
        <v>1631</v>
      </c>
      <c r="U6" s="2231" t="s">
        <v>1632</v>
      </c>
      <c r="V6" s="2231" t="s">
        <v>1633</v>
      </c>
      <c r="W6" s="2231" t="s">
        <v>1634</v>
      </c>
      <c r="X6" s="2231" t="s">
        <v>1635</v>
      </c>
      <c r="Y6" s="2231" t="s">
        <v>1636</v>
      </c>
      <c r="Z6" s="2231" t="s">
        <v>1637</v>
      </c>
      <c r="AA6" s="2231" t="s">
        <v>1638</v>
      </c>
      <c r="AB6" s="2258" t="s">
        <v>1639</v>
      </c>
      <c r="AC6" s="2231" t="s">
        <v>1640</v>
      </c>
      <c r="AD6" s="2692"/>
      <c r="AE6" s="2231" t="s">
        <v>1641</v>
      </c>
      <c r="AF6" s="2231" t="s">
        <v>1642</v>
      </c>
      <c r="AG6" s="2231" t="s">
        <v>1643</v>
      </c>
      <c r="AH6" s="2231" t="s">
        <v>1644</v>
      </c>
      <c r="AI6" s="2231" t="s">
        <v>1645</v>
      </c>
      <c r="AJ6" s="2231" t="s">
        <v>1646</v>
      </c>
      <c r="AK6" s="2231" t="s">
        <v>1647</v>
      </c>
      <c r="AL6" s="2231" t="s">
        <v>1648</v>
      </c>
      <c r="AM6" s="2231" t="s">
        <v>1649</v>
      </c>
      <c r="AN6" s="2231" t="s">
        <v>1650</v>
      </c>
      <c r="AO6" s="2692"/>
      <c r="AP6" s="2256" t="s">
        <v>1651</v>
      </c>
      <c r="AQ6" s="2257"/>
      <c r="AR6" s="2257"/>
      <c r="AS6" s="2257"/>
      <c r="AT6" s="2257"/>
      <c r="AU6" s="2257"/>
      <c r="AV6" s="2257"/>
      <c r="AW6" s="2257"/>
      <c r="AX6" s="2257"/>
      <c r="AY6" s="2257"/>
      <c r="AZ6" s="2257"/>
      <c r="BA6" s="2257"/>
      <c r="BB6" s="2257"/>
      <c r="BC6" s="2257"/>
      <c r="BD6" s="2257"/>
      <c r="BE6" s="2257"/>
      <c r="BF6" s="2257"/>
      <c r="BG6" s="2257"/>
      <c r="BH6" s="2257"/>
      <c r="BI6" s="2258"/>
      <c r="BJ6" s="2231" t="s">
        <v>1652</v>
      </c>
      <c r="BK6" s="2231" t="s">
        <v>1653</v>
      </c>
      <c r="BL6" s="2231" t="s">
        <v>1654</v>
      </c>
      <c r="BM6" s="2231" t="s">
        <v>1655</v>
      </c>
      <c r="BN6" s="2692"/>
      <c r="BO6" s="2231" t="s">
        <v>1656</v>
      </c>
      <c r="BP6" s="2231" t="s">
        <v>1657</v>
      </c>
      <c r="BQ6" s="2231" t="s">
        <v>1658</v>
      </c>
      <c r="BR6" s="2231" t="s">
        <v>1659</v>
      </c>
      <c r="BS6" s="2231" t="s">
        <v>1660</v>
      </c>
      <c r="BT6" s="2231" t="s">
        <v>1661</v>
      </c>
      <c r="BU6" s="2231" t="s">
        <v>1662</v>
      </c>
      <c r="BV6" s="2231" t="s">
        <v>1663</v>
      </c>
      <c r="BW6" s="2231" t="s">
        <v>1664</v>
      </c>
      <c r="BX6" s="2231" t="s">
        <v>1665</v>
      </c>
      <c r="BY6" s="2231" t="s">
        <v>1666</v>
      </c>
      <c r="BZ6" s="2231" t="s">
        <v>1667</v>
      </c>
      <c r="CA6" s="2692"/>
      <c r="CB6" s="2231" t="s">
        <v>1668</v>
      </c>
      <c r="CC6" s="1402" t="s">
        <v>1669</v>
      </c>
      <c r="CD6" s="880"/>
      <c r="CE6" s="880"/>
      <c r="CF6" s="880"/>
      <c r="CG6" s="880"/>
      <c r="CH6" s="880"/>
      <c r="CI6" s="880"/>
      <c r="CJ6" s="880"/>
      <c r="CK6" s="880"/>
      <c r="CL6" s="880"/>
      <c r="CM6" s="880"/>
      <c r="CN6" s="880"/>
      <c r="CO6" s="1075"/>
      <c r="CP6" s="1075"/>
      <c r="CQ6" s="1075"/>
      <c r="CR6" s="1078"/>
      <c r="CS6" s="2692"/>
      <c r="CT6" s="2217" t="s">
        <v>1670</v>
      </c>
      <c r="CU6" s="2319"/>
      <c r="CV6" s="2319"/>
      <c r="CW6" s="2319"/>
      <c r="CX6" s="2319"/>
      <c r="CY6" s="2319"/>
      <c r="CZ6" s="2319"/>
      <c r="DA6" s="2319"/>
      <c r="DB6" s="2319"/>
      <c r="DC6" s="2319"/>
      <c r="DD6" s="2319"/>
      <c r="DE6" s="2319"/>
      <c r="DF6" s="2319"/>
      <c r="DG6" s="2319"/>
      <c r="DH6" s="2319"/>
      <c r="DI6" s="2342"/>
      <c r="DJ6" s="2464" t="s">
        <v>1671</v>
      </c>
      <c r="DK6" s="2653" t="s">
        <v>1672</v>
      </c>
      <c r="DL6" s="2208"/>
      <c r="DM6" s="2208"/>
      <c r="DN6" s="2654"/>
    </row>
    <row r="7" spans="1:118" ht="13.5">
      <c r="A7" s="2692"/>
      <c r="B7" s="2231"/>
      <c r="C7" s="2231"/>
      <c r="D7" s="2256"/>
      <c r="E7" s="2258"/>
      <c r="F7" s="2256"/>
      <c r="G7" s="2258"/>
      <c r="H7" s="2231"/>
      <c r="I7" s="2256"/>
      <c r="J7" s="2258"/>
      <c r="K7" s="2256"/>
      <c r="L7" s="2258"/>
      <c r="M7" s="2257"/>
      <c r="N7" s="2231"/>
      <c r="O7" s="2231"/>
      <c r="P7" s="2499"/>
      <c r="Q7" s="2256"/>
      <c r="R7" s="2258"/>
      <c r="S7" s="2231"/>
      <c r="T7" s="2231"/>
      <c r="U7" s="2231"/>
      <c r="V7" s="2231"/>
      <c r="W7" s="2231"/>
      <c r="X7" s="2231"/>
      <c r="Y7" s="2231"/>
      <c r="Z7" s="2231"/>
      <c r="AA7" s="2231"/>
      <c r="AB7" s="2258"/>
      <c r="AC7" s="2231"/>
      <c r="AD7" s="2692"/>
      <c r="AE7" s="2231"/>
      <c r="AF7" s="2231"/>
      <c r="AG7" s="2231"/>
      <c r="AH7" s="2231"/>
      <c r="AI7" s="2231"/>
      <c r="AJ7" s="2231"/>
      <c r="AK7" s="2231"/>
      <c r="AL7" s="2231"/>
      <c r="AM7" s="2231"/>
      <c r="AN7" s="2231"/>
      <c r="AO7" s="2692"/>
      <c r="AP7" s="2256"/>
      <c r="AQ7" s="2257"/>
      <c r="AR7" s="2257"/>
      <c r="AS7" s="2257"/>
      <c r="AT7" s="2257"/>
      <c r="AU7" s="2257"/>
      <c r="AV7" s="2257"/>
      <c r="AW7" s="2257"/>
      <c r="AX7" s="2257"/>
      <c r="AY7" s="2257"/>
      <c r="AZ7" s="2257"/>
      <c r="BA7" s="2257"/>
      <c r="BB7" s="2257"/>
      <c r="BC7" s="2257"/>
      <c r="BD7" s="2257"/>
      <c r="BE7" s="2257"/>
      <c r="BF7" s="2257"/>
      <c r="BG7" s="2257"/>
      <c r="BH7" s="2257"/>
      <c r="BI7" s="2258"/>
      <c r="BJ7" s="2231"/>
      <c r="BK7" s="2231"/>
      <c r="BL7" s="2231"/>
      <c r="BM7" s="2231"/>
      <c r="BN7" s="2692"/>
      <c r="BO7" s="2231"/>
      <c r="BP7" s="2231"/>
      <c r="BQ7" s="2231"/>
      <c r="BR7" s="2231"/>
      <c r="BS7" s="2231"/>
      <c r="BT7" s="2231"/>
      <c r="BU7" s="2231"/>
      <c r="BV7" s="2231"/>
      <c r="BW7" s="2231"/>
      <c r="BX7" s="2231"/>
      <c r="BY7" s="2231"/>
      <c r="BZ7" s="2231"/>
      <c r="CA7" s="2692"/>
      <c r="CB7" s="2231"/>
      <c r="CC7" s="1402" t="s">
        <v>1673</v>
      </c>
      <c r="CD7" s="880"/>
      <c r="CE7" s="880"/>
      <c r="CF7" s="880"/>
      <c r="CG7" s="880"/>
      <c r="CH7" s="880"/>
      <c r="CI7" s="880"/>
      <c r="CJ7" s="880"/>
      <c r="CK7" s="880"/>
      <c r="CL7" s="880"/>
      <c r="CM7" s="880"/>
      <c r="CN7" s="880"/>
      <c r="CO7" s="1075"/>
      <c r="CP7" s="1075"/>
      <c r="CQ7" s="1075"/>
      <c r="CR7" s="1078"/>
      <c r="CS7" s="2692"/>
      <c r="CT7" s="1077"/>
      <c r="CU7" s="1075"/>
      <c r="CV7" s="1075"/>
      <c r="CW7" s="1075"/>
      <c r="CX7" s="880"/>
      <c r="CY7" s="880"/>
      <c r="CZ7" s="880"/>
      <c r="DA7" s="880"/>
      <c r="DB7" s="880"/>
      <c r="DC7" s="880"/>
      <c r="DD7" s="880"/>
      <c r="DE7" s="880"/>
      <c r="DF7" s="880"/>
      <c r="DG7" s="24"/>
      <c r="DH7" s="24"/>
      <c r="DI7" s="26"/>
      <c r="DJ7" s="2464"/>
      <c r="DK7" s="2655"/>
      <c r="DL7" s="2211"/>
      <c r="DM7" s="2211"/>
      <c r="DN7" s="2656"/>
    </row>
    <row r="8" spans="1:118" ht="13.5" customHeight="1">
      <c r="A8" s="2692"/>
      <c r="B8" s="2231"/>
      <c r="C8" s="2231"/>
      <c r="D8" s="2256"/>
      <c r="E8" s="2258"/>
      <c r="F8" s="2256"/>
      <c r="G8" s="2258"/>
      <c r="H8" s="2231"/>
      <c r="I8" s="2256"/>
      <c r="J8" s="2258"/>
      <c r="K8" s="2256"/>
      <c r="L8" s="2258"/>
      <c r="M8" s="2257"/>
      <c r="N8" s="2231"/>
      <c r="O8" s="2231"/>
      <c r="P8" s="2499"/>
      <c r="Q8" s="2256"/>
      <c r="R8" s="2258"/>
      <c r="S8" s="2231"/>
      <c r="T8" s="2231"/>
      <c r="U8" s="2231"/>
      <c r="V8" s="2231"/>
      <c r="W8" s="2231"/>
      <c r="X8" s="2231"/>
      <c r="Y8" s="2231"/>
      <c r="Z8" s="2231"/>
      <c r="AA8" s="2231"/>
      <c r="AB8" s="2258"/>
      <c r="AC8" s="2231"/>
      <c r="AD8" s="2692"/>
      <c r="AE8" s="2231"/>
      <c r="AF8" s="2231"/>
      <c r="AG8" s="2231"/>
      <c r="AH8" s="2231"/>
      <c r="AI8" s="2231"/>
      <c r="AJ8" s="2231"/>
      <c r="AK8" s="2231"/>
      <c r="AL8" s="2231"/>
      <c r="AM8" s="2231"/>
      <c r="AN8" s="2231"/>
      <c r="AO8" s="2692"/>
      <c r="AP8" s="2256"/>
      <c r="AQ8" s="2257"/>
      <c r="AR8" s="2257"/>
      <c r="AS8" s="2257"/>
      <c r="AT8" s="2257"/>
      <c r="AU8" s="2257"/>
      <c r="AV8" s="2257"/>
      <c r="AW8" s="2257"/>
      <c r="AX8" s="2257"/>
      <c r="AY8" s="2257"/>
      <c r="AZ8" s="2257"/>
      <c r="BA8" s="2257"/>
      <c r="BB8" s="2257"/>
      <c r="BC8" s="2257"/>
      <c r="BD8" s="2257"/>
      <c r="BE8" s="2257"/>
      <c r="BF8" s="2257"/>
      <c r="BG8" s="2257"/>
      <c r="BH8" s="2257"/>
      <c r="BI8" s="2258"/>
      <c r="BJ8" s="2231"/>
      <c r="BK8" s="2231"/>
      <c r="BL8" s="2231"/>
      <c r="BM8" s="2231"/>
      <c r="BN8" s="2692"/>
      <c r="BO8" s="2231"/>
      <c r="BP8" s="2231"/>
      <c r="BQ8" s="2231"/>
      <c r="BR8" s="2231"/>
      <c r="BS8" s="2231"/>
      <c r="BT8" s="2231"/>
      <c r="BU8" s="2231"/>
      <c r="BV8" s="2231"/>
      <c r="BW8" s="2231"/>
      <c r="BX8" s="2231"/>
      <c r="BY8" s="2231"/>
      <c r="BZ8" s="2231"/>
      <c r="CA8" s="2692"/>
      <c r="CB8" s="2231"/>
      <c r="CC8" s="1402" t="s">
        <v>1674</v>
      </c>
      <c r="CD8" s="880"/>
      <c r="CE8" s="880"/>
      <c r="CF8" s="880"/>
      <c r="CG8" s="880"/>
      <c r="CH8" s="880"/>
      <c r="CI8" s="880"/>
      <c r="CJ8" s="880"/>
      <c r="CK8" s="880"/>
      <c r="CL8" s="880"/>
      <c r="CM8" s="880"/>
      <c r="CN8" s="880"/>
      <c r="CO8" s="1075"/>
      <c r="CP8" s="1075"/>
      <c r="CQ8" s="1075"/>
      <c r="CR8" s="1078"/>
      <c r="CS8" s="2692"/>
      <c r="CT8" s="1077"/>
      <c r="CU8" s="1075"/>
      <c r="CV8" s="1075"/>
      <c r="CW8" s="1075"/>
      <c r="CX8" s="880"/>
      <c r="CY8" s="880"/>
      <c r="CZ8" s="880"/>
      <c r="DA8" s="880"/>
      <c r="DB8" s="880"/>
      <c r="DC8" s="880"/>
      <c r="DD8" s="880"/>
      <c r="DE8" s="880"/>
      <c r="DF8" s="880"/>
      <c r="DG8" s="24"/>
      <c r="DH8" s="24"/>
      <c r="DI8" s="26"/>
      <c r="DJ8" s="2464"/>
      <c r="DK8" s="1142" t="s">
        <v>263</v>
      </c>
      <c r="DL8" s="422" t="s">
        <v>126</v>
      </c>
      <c r="DM8" s="422" t="s">
        <v>148</v>
      </c>
      <c r="DN8" s="1143" t="s">
        <v>264</v>
      </c>
    </row>
    <row r="9" spans="1:118" ht="13.5" customHeight="1">
      <c r="A9" s="2692"/>
      <c r="B9" s="2231"/>
      <c r="C9" s="2231"/>
      <c r="D9" s="2256"/>
      <c r="E9" s="2258"/>
      <c r="F9" s="2256"/>
      <c r="G9" s="2258"/>
      <c r="H9" s="2231"/>
      <c r="I9" s="2256"/>
      <c r="J9" s="2258"/>
      <c r="K9" s="2256"/>
      <c r="L9" s="2258"/>
      <c r="M9" s="2257"/>
      <c r="N9" s="2231"/>
      <c r="O9" s="2231"/>
      <c r="P9" s="2499"/>
      <c r="S9" s="2231"/>
      <c r="T9" s="2231"/>
      <c r="U9" s="2231"/>
      <c r="V9" s="2231"/>
      <c r="W9" s="2231"/>
      <c r="X9" s="2231"/>
      <c r="Y9" s="2231"/>
      <c r="Z9" s="2231"/>
      <c r="AA9" s="2231"/>
      <c r="AB9" s="2258"/>
      <c r="AC9" s="2231"/>
      <c r="AD9" s="2692"/>
      <c r="AE9" s="2231"/>
      <c r="AF9" s="2231"/>
      <c r="AG9" s="2231"/>
      <c r="AH9" s="2231"/>
      <c r="AI9" s="2231"/>
      <c r="AJ9" s="2231"/>
      <c r="AK9" s="2231"/>
      <c r="AL9" s="2231"/>
      <c r="AM9" s="2231"/>
      <c r="AN9" s="2231"/>
      <c r="AO9" s="2692"/>
      <c r="AP9" s="1762"/>
      <c r="AQ9" s="1763"/>
      <c r="AR9" s="1763"/>
      <c r="AS9" s="1763"/>
      <c r="AT9" s="1763"/>
      <c r="AU9" s="1763"/>
      <c r="AV9" s="1763"/>
      <c r="AW9" s="1763"/>
      <c r="AX9" s="1763"/>
      <c r="AY9" s="1763"/>
      <c r="AZ9" s="1763"/>
      <c r="BA9" s="1763"/>
      <c r="BB9" s="1763"/>
      <c r="BC9" s="1763"/>
      <c r="BD9" s="1763"/>
      <c r="BE9" s="1763"/>
      <c r="BF9" s="1763"/>
      <c r="BG9" s="1763"/>
      <c r="BH9" s="1763"/>
      <c r="BI9" s="1764"/>
      <c r="BJ9" s="2231"/>
      <c r="BK9" s="2231"/>
      <c r="BL9" s="2231"/>
      <c r="BM9" s="2231"/>
      <c r="BN9" s="2692"/>
      <c r="BO9" s="2231"/>
      <c r="BP9" s="2231"/>
      <c r="BQ9" s="2231"/>
      <c r="BR9" s="2231"/>
      <c r="BS9" s="2231"/>
      <c r="BT9" s="2231"/>
      <c r="BU9" s="2231"/>
      <c r="BV9" s="2231"/>
      <c r="BW9" s="2231"/>
      <c r="BX9" s="2231"/>
      <c r="BY9" s="2231"/>
      <c r="BZ9" s="2231"/>
      <c r="CA9" s="2692"/>
      <c r="CB9" s="2231"/>
      <c r="CC9" s="1402" t="s">
        <v>1675</v>
      </c>
      <c r="CD9" s="880"/>
      <c r="CE9" s="880"/>
      <c r="CF9" s="880"/>
      <c r="CG9" s="880"/>
      <c r="CH9" s="880"/>
      <c r="CI9" s="880"/>
      <c r="CJ9" s="880"/>
      <c r="CK9" s="880"/>
      <c r="CL9" s="880"/>
      <c r="CM9" s="880"/>
      <c r="CN9" s="880"/>
      <c r="CO9" s="1075"/>
      <c r="CP9" s="1075"/>
      <c r="CQ9" s="1075"/>
      <c r="CR9" s="1078"/>
      <c r="CS9" s="2692"/>
      <c r="CT9" s="1402" t="s">
        <v>1676</v>
      </c>
      <c r="CU9" s="880"/>
      <c r="CV9" s="880"/>
      <c r="CW9" s="880"/>
      <c r="CX9" s="880"/>
      <c r="CY9" s="880"/>
      <c r="CZ9" s="880"/>
      <c r="DA9" s="880"/>
      <c r="DB9" s="880"/>
      <c r="DC9" s="880"/>
      <c r="DD9" s="880"/>
      <c r="DE9" s="880"/>
      <c r="DF9" s="880"/>
      <c r="DG9" s="24"/>
      <c r="DH9" s="24"/>
      <c r="DI9" s="26"/>
      <c r="DJ9" s="2464"/>
      <c r="DK9" s="2657" t="s">
        <v>1677</v>
      </c>
      <c r="DL9" s="2270" t="s">
        <v>1678</v>
      </c>
      <c r="DM9" s="2270" t="s">
        <v>1679</v>
      </c>
      <c r="DN9" s="2660" t="s">
        <v>1680</v>
      </c>
    </row>
    <row r="10" spans="1:118" ht="13.5" customHeight="1">
      <c r="A10" s="2692"/>
      <c r="B10" s="2231"/>
      <c r="C10" s="2231"/>
      <c r="D10" s="2256"/>
      <c r="E10" s="2258"/>
      <c r="F10" s="2256"/>
      <c r="G10" s="2258"/>
      <c r="H10" s="2231"/>
      <c r="I10" s="2256"/>
      <c r="J10" s="2258"/>
      <c r="K10" s="2256"/>
      <c r="L10" s="2258"/>
      <c r="M10" s="2257"/>
      <c r="N10" s="2231"/>
      <c r="O10" s="2231"/>
      <c r="P10" s="2499"/>
      <c r="S10" s="2231"/>
      <c r="T10" s="2231"/>
      <c r="U10" s="2231"/>
      <c r="V10" s="2231"/>
      <c r="W10" s="2231"/>
      <c r="X10" s="2231"/>
      <c r="Y10" s="2231"/>
      <c r="Z10" s="2231"/>
      <c r="AA10" s="2231"/>
      <c r="AB10" s="2258"/>
      <c r="AC10" s="806" t="s">
        <v>1681</v>
      </c>
      <c r="AD10" s="2692"/>
      <c r="AE10" s="2231"/>
      <c r="AF10" s="2231"/>
      <c r="AG10" s="2231"/>
      <c r="AH10" s="2231"/>
      <c r="AI10" s="2231"/>
      <c r="AJ10" s="2231"/>
      <c r="AK10" s="2231"/>
      <c r="AL10" s="2231"/>
      <c r="AM10" s="2231"/>
      <c r="AN10" s="766"/>
      <c r="AO10" s="2692"/>
      <c r="AP10" s="2670" t="s">
        <v>1682</v>
      </c>
      <c r="AQ10" s="2670" t="s">
        <v>1683</v>
      </c>
      <c r="AR10" s="2670" t="s">
        <v>1684</v>
      </c>
      <c r="AS10" s="2670" t="s">
        <v>1615</v>
      </c>
      <c r="AT10" s="2673" t="s">
        <v>1685</v>
      </c>
      <c r="AU10" s="2673" t="s">
        <v>1686</v>
      </c>
      <c r="AV10" s="2673" t="s">
        <v>1687</v>
      </c>
      <c r="AW10" s="2673" t="s">
        <v>1688</v>
      </c>
      <c r="AX10" s="2673" t="s">
        <v>1689</v>
      </c>
      <c r="AY10" s="2673" t="s">
        <v>1690</v>
      </c>
      <c r="AZ10" s="2673" t="s">
        <v>1691</v>
      </c>
      <c r="BA10" s="2673" t="s">
        <v>1692</v>
      </c>
      <c r="BB10" s="2673" t="s">
        <v>1693</v>
      </c>
      <c r="BC10" s="2673" t="s">
        <v>1694</v>
      </c>
      <c r="BD10" s="2673" t="s">
        <v>1695</v>
      </c>
      <c r="BE10" s="2670" t="s">
        <v>1696</v>
      </c>
      <c r="BF10" s="2673" t="s">
        <v>1697</v>
      </c>
      <c r="BG10" s="2673" t="s">
        <v>1698</v>
      </c>
      <c r="BH10" s="2673" t="s">
        <v>1699</v>
      </c>
      <c r="BI10" s="2673" t="s">
        <v>1700</v>
      </c>
      <c r="BJ10" s="2231"/>
      <c r="BK10" s="2231"/>
      <c r="BL10" s="2231"/>
      <c r="BM10" s="2231"/>
      <c r="BN10" s="2692"/>
      <c r="BO10" s="2231"/>
      <c r="BP10" s="2231"/>
      <c r="BQ10" s="2231"/>
      <c r="BR10" s="2231"/>
      <c r="BS10" s="2231"/>
      <c r="BT10" s="2231"/>
      <c r="BU10" s="2231"/>
      <c r="BV10" s="2231"/>
      <c r="BW10" s="2231"/>
      <c r="BX10" s="2231"/>
      <c r="BY10" s="2231"/>
      <c r="BZ10" s="2231"/>
      <c r="CA10" s="2692"/>
      <c r="CB10" s="677"/>
      <c r="CC10" s="1402"/>
      <c r="CD10" s="880"/>
      <c r="CE10" s="880"/>
      <c r="CF10" s="880"/>
      <c r="CG10" s="880"/>
      <c r="CH10" s="880"/>
      <c r="CI10" s="880"/>
      <c r="CJ10" s="880"/>
      <c r="CK10" s="880"/>
      <c r="CL10" s="880"/>
      <c r="CM10" s="880"/>
      <c r="CN10" s="880"/>
      <c r="CO10" s="880"/>
      <c r="CP10" s="880"/>
      <c r="CQ10" s="1071"/>
      <c r="CR10" s="1044"/>
      <c r="CS10" s="2692"/>
      <c r="CT10" s="1402"/>
      <c r="CU10" s="880"/>
      <c r="CV10" s="880"/>
      <c r="CW10" s="880"/>
      <c r="CX10" s="880"/>
      <c r="CY10" s="880"/>
      <c r="CZ10" s="880"/>
      <c r="DA10" s="880"/>
      <c r="DB10" s="880"/>
      <c r="DC10" s="880"/>
      <c r="DD10" s="880"/>
      <c r="DE10" s="880"/>
      <c r="DF10" s="880"/>
      <c r="DG10" s="24"/>
      <c r="DH10" s="24"/>
      <c r="DI10" s="26"/>
      <c r="DJ10" s="2464"/>
      <c r="DK10" s="2657"/>
      <c r="DL10" s="2270"/>
      <c r="DM10" s="2270"/>
      <c r="DN10" s="2660"/>
    </row>
    <row r="11" spans="1:118" ht="15" customHeight="1">
      <c r="A11" s="2692"/>
      <c r="B11" s="2231"/>
      <c r="C11" s="2231"/>
      <c r="D11" s="2256"/>
      <c r="E11" s="2258"/>
      <c r="F11" s="1402"/>
      <c r="G11" s="1043"/>
      <c r="H11" s="2231"/>
      <c r="I11" s="2256"/>
      <c r="J11" s="2258"/>
      <c r="K11" s="2256"/>
      <c r="L11" s="2258"/>
      <c r="M11" s="2257"/>
      <c r="N11" s="2231"/>
      <c r="O11" s="1047" t="s">
        <v>1701</v>
      </c>
      <c r="P11" s="2499"/>
      <c r="Q11" s="2256" t="s">
        <v>1702</v>
      </c>
      <c r="R11" s="2258"/>
      <c r="S11" s="806"/>
      <c r="T11" s="2231"/>
      <c r="U11" s="2231"/>
      <c r="V11" s="2231"/>
      <c r="W11" s="2231"/>
      <c r="X11" s="2231"/>
      <c r="Y11" s="2231"/>
      <c r="Z11" s="2231"/>
      <c r="AA11" s="2231"/>
      <c r="AB11" s="2258"/>
      <c r="AC11" s="806" t="s">
        <v>1703</v>
      </c>
      <c r="AD11" s="2692"/>
      <c r="AE11" s="2231"/>
      <c r="AF11" s="2231"/>
      <c r="AG11" s="2231"/>
      <c r="AH11" s="2231"/>
      <c r="AI11" s="2231"/>
      <c r="AJ11" s="2231"/>
      <c r="AK11" s="2231"/>
      <c r="AL11" s="2231"/>
      <c r="AN11" s="766"/>
      <c r="AO11" s="2692"/>
      <c r="AP11" s="2671"/>
      <c r="AQ11" s="2671"/>
      <c r="AR11" s="2671"/>
      <c r="AS11" s="2671"/>
      <c r="AT11" s="2674"/>
      <c r="AU11" s="2674"/>
      <c r="AV11" s="2674"/>
      <c r="AW11" s="2674"/>
      <c r="AX11" s="2674"/>
      <c r="AY11" s="2674"/>
      <c r="AZ11" s="2674"/>
      <c r="BA11" s="2674"/>
      <c r="BB11" s="2674"/>
      <c r="BC11" s="2674"/>
      <c r="BD11" s="2674"/>
      <c r="BE11" s="2671"/>
      <c r="BF11" s="2674"/>
      <c r="BG11" s="2674"/>
      <c r="BH11" s="2674"/>
      <c r="BI11" s="2674"/>
      <c r="BJ11" s="2231"/>
      <c r="BK11" s="2231"/>
      <c r="BL11" s="2231"/>
      <c r="BM11" s="2231"/>
      <c r="BN11" s="2692"/>
      <c r="BO11" s="2231"/>
      <c r="BP11" s="2231"/>
      <c r="BQ11" s="2231"/>
      <c r="BR11" s="2231"/>
      <c r="BS11" s="2231"/>
      <c r="BT11" s="2231"/>
      <c r="BU11" s="2231"/>
      <c r="BV11" s="2231"/>
      <c r="BW11" s="2231"/>
      <c r="BX11" s="2231"/>
      <c r="BY11" s="2231"/>
      <c r="BZ11" s="2231"/>
      <c r="CA11" s="2692"/>
      <c r="CB11" s="677" t="s">
        <v>1704</v>
      </c>
      <c r="CC11" s="1402" t="s">
        <v>1705</v>
      </c>
      <c r="CD11" s="880"/>
      <c r="CE11" s="880"/>
      <c r="CF11" s="880"/>
      <c r="CG11" s="880"/>
      <c r="CH11" s="880"/>
      <c r="CI11" s="880"/>
      <c r="CJ11" s="880"/>
      <c r="CK11" s="880"/>
      <c r="CL11" s="880"/>
      <c r="CM11" s="880"/>
      <c r="CN11" s="880"/>
      <c r="CO11" s="880"/>
      <c r="CP11" s="880"/>
      <c r="CQ11" s="1075"/>
      <c r="CR11" s="1078"/>
      <c r="CS11" s="2692"/>
      <c r="CT11" s="1402" t="s">
        <v>1706</v>
      </c>
      <c r="CU11" s="880"/>
      <c r="CV11" s="880"/>
      <c r="CW11" s="880"/>
      <c r="CX11" s="880"/>
      <c r="CY11" s="880"/>
      <c r="CZ11" s="880"/>
      <c r="DA11" s="880"/>
      <c r="DB11" s="880"/>
      <c r="DC11" s="880"/>
      <c r="DD11" s="880"/>
      <c r="DE11" s="880"/>
      <c r="DF11" s="880"/>
      <c r="DG11" s="24"/>
      <c r="DH11" s="24"/>
      <c r="DI11" s="26"/>
      <c r="DJ11" s="2464"/>
      <c r="DK11" s="2657"/>
      <c r="DL11" s="2270"/>
      <c r="DM11" s="2270"/>
      <c r="DN11" s="2660"/>
    </row>
    <row r="12" spans="1:118" ht="13.5" customHeight="1">
      <c r="A12" s="2692"/>
      <c r="B12" s="2231"/>
      <c r="C12" s="2231"/>
      <c r="D12" s="2704"/>
      <c r="E12" s="2705"/>
      <c r="F12" s="1402"/>
      <c r="G12" s="1043"/>
      <c r="H12" s="880"/>
      <c r="I12" s="2256"/>
      <c r="J12" s="2258"/>
      <c r="K12" s="2704"/>
      <c r="L12" s="2705"/>
      <c r="M12" s="2257"/>
      <c r="N12" s="2231"/>
      <c r="O12" s="1047" t="s">
        <v>1707</v>
      </c>
      <c r="P12" s="2499"/>
      <c r="Q12" s="2256"/>
      <c r="R12" s="2258"/>
      <c r="S12" s="2231"/>
      <c r="T12" s="2231"/>
      <c r="U12" s="1047"/>
      <c r="V12" s="806"/>
      <c r="W12" s="2231"/>
      <c r="X12" s="2231"/>
      <c r="Y12" s="2231"/>
      <c r="Z12" s="2231"/>
      <c r="AA12" s="2231"/>
      <c r="AB12" s="880"/>
      <c r="AC12" s="1047" t="s">
        <v>1708</v>
      </c>
      <c r="AD12" s="2692"/>
      <c r="AE12" s="2231"/>
      <c r="AF12" s="2231"/>
      <c r="AG12" s="2231"/>
      <c r="AH12" s="2231"/>
      <c r="AI12" s="2231"/>
      <c r="AJ12" s="1047" t="s">
        <v>1709</v>
      </c>
      <c r="AK12" s="2231"/>
      <c r="AL12" s="1047"/>
      <c r="AM12" s="1765" t="s">
        <v>1710</v>
      </c>
      <c r="AN12" s="1766" t="s">
        <v>1710</v>
      </c>
      <c r="AO12" s="2692"/>
      <c r="AP12" s="2671"/>
      <c r="AQ12" s="2671"/>
      <c r="AR12" s="2671"/>
      <c r="AS12" s="2671"/>
      <c r="AT12" s="2674"/>
      <c r="AU12" s="2674"/>
      <c r="AV12" s="2674"/>
      <c r="AW12" s="2674"/>
      <c r="AX12" s="2674"/>
      <c r="AY12" s="2674"/>
      <c r="AZ12" s="2674"/>
      <c r="BA12" s="2674"/>
      <c r="BB12" s="2674"/>
      <c r="BC12" s="2674"/>
      <c r="BD12" s="2674"/>
      <c r="BE12" s="2671"/>
      <c r="BF12" s="2674"/>
      <c r="BG12" s="2674"/>
      <c r="BH12" s="2674"/>
      <c r="BI12" s="2674"/>
      <c r="BJ12" s="2231"/>
      <c r="BK12" s="2231"/>
      <c r="BL12" s="2231"/>
      <c r="BM12" s="2231"/>
      <c r="BN12" s="2692"/>
      <c r="BO12" s="2231"/>
      <c r="BP12" s="2231"/>
      <c r="BQ12" s="2231"/>
      <c r="BR12" s="2231"/>
      <c r="BS12" s="2231"/>
      <c r="BT12" s="2231"/>
      <c r="BU12" s="2231"/>
      <c r="BV12" s="2231"/>
      <c r="BW12" s="806"/>
      <c r="BX12" s="806"/>
      <c r="BY12" s="2231"/>
      <c r="BZ12" s="2231"/>
      <c r="CA12" s="2692"/>
      <c r="CB12" s="677" t="s">
        <v>1711</v>
      </c>
      <c r="CC12" s="1402"/>
      <c r="CD12" s="880"/>
      <c r="CE12" s="880"/>
      <c r="CF12" s="880"/>
      <c r="CG12" s="880"/>
      <c r="CH12" s="880"/>
      <c r="CI12" s="880"/>
      <c r="CJ12" s="880"/>
      <c r="CK12" s="880"/>
      <c r="CL12" s="880"/>
      <c r="CM12" s="880"/>
      <c r="CN12" s="880"/>
      <c r="CO12" s="1075"/>
      <c r="CP12" s="1075"/>
      <c r="CQ12" s="1075"/>
      <c r="CR12" s="1078"/>
      <c r="CS12" s="2692"/>
      <c r="CT12" s="1402"/>
      <c r="CU12" s="880"/>
      <c r="CV12" s="880"/>
      <c r="CW12" s="880"/>
      <c r="CX12" s="880"/>
      <c r="CY12" s="880"/>
      <c r="CZ12" s="880"/>
      <c r="DA12" s="880"/>
      <c r="DB12" s="880"/>
      <c r="DC12" s="880"/>
      <c r="DD12" s="880"/>
      <c r="DE12" s="880"/>
      <c r="DF12" s="880"/>
      <c r="DG12" s="24"/>
      <c r="DH12" s="24"/>
      <c r="DI12" s="26"/>
      <c r="DJ12" s="2464"/>
      <c r="DK12" s="2657"/>
      <c r="DL12" s="2270"/>
      <c r="DM12" s="2270"/>
      <c r="DN12" s="2660"/>
    </row>
    <row r="13" spans="1:118" ht="13.5" customHeight="1">
      <c r="A13" s="2692"/>
      <c r="B13" s="2231"/>
      <c r="C13" s="2231"/>
      <c r="D13" s="2704"/>
      <c r="E13" s="2705"/>
      <c r="F13" s="1402"/>
      <c r="G13" s="1043"/>
      <c r="H13" s="880"/>
      <c r="I13" s="2256"/>
      <c r="J13" s="2258"/>
      <c r="K13" s="2704"/>
      <c r="L13" s="2705"/>
      <c r="M13" s="2257"/>
      <c r="N13" s="2231"/>
      <c r="O13" s="1047" t="s">
        <v>1712</v>
      </c>
      <c r="P13" s="2499"/>
      <c r="Q13" s="2677" t="str">
        <f>CONCATENATE("2 Posto fixo na via pública ► (",W5,")")</f>
        <v>2 Posto fixo na via pública ► (10,28)</v>
      </c>
      <c r="R13" s="2678"/>
      <c r="S13" s="2231"/>
      <c r="T13" s="1047"/>
      <c r="U13" s="1047"/>
      <c r="V13" s="806"/>
      <c r="W13" s="2231"/>
      <c r="X13" s="1047"/>
      <c r="Y13" s="2231"/>
      <c r="Z13" s="2231"/>
      <c r="AA13" s="2231"/>
      <c r="AB13" s="2258" t="s">
        <v>1713</v>
      </c>
      <c r="AC13" s="1047" t="s">
        <v>1714</v>
      </c>
      <c r="AD13" s="2692"/>
      <c r="AE13" s="1047"/>
      <c r="AF13" s="806"/>
      <c r="AG13" s="2231"/>
      <c r="AH13" s="1044"/>
      <c r="AI13" s="2231"/>
      <c r="AJ13" s="1047"/>
      <c r="AK13" s="2231"/>
      <c r="AL13" s="1047"/>
      <c r="AM13" s="1765" t="s">
        <v>1715</v>
      </c>
      <c r="AN13" s="1766" t="s">
        <v>1715</v>
      </c>
      <c r="AO13" s="2692"/>
      <c r="AP13" s="2671"/>
      <c r="AQ13" s="2671"/>
      <c r="AR13" s="2671"/>
      <c r="AS13" s="2671"/>
      <c r="AT13" s="2674"/>
      <c r="AU13" s="2674"/>
      <c r="AV13" s="2674"/>
      <c r="AW13" s="2674"/>
      <c r="AX13" s="2674"/>
      <c r="AY13" s="2674"/>
      <c r="AZ13" s="2674"/>
      <c r="BA13" s="2674"/>
      <c r="BB13" s="2674"/>
      <c r="BC13" s="2674"/>
      <c r="BD13" s="2674"/>
      <c r="BE13" s="2671"/>
      <c r="BF13" s="2674"/>
      <c r="BG13" s="2674"/>
      <c r="BH13" s="2674"/>
      <c r="BI13" s="2674"/>
      <c r="BJ13" s="2231"/>
      <c r="BK13" s="2231"/>
      <c r="BL13" s="2231"/>
      <c r="BM13" s="2231"/>
      <c r="BN13" s="2692"/>
      <c r="BO13" s="2231"/>
      <c r="BP13" s="2231"/>
      <c r="BQ13" s="2231"/>
      <c r="BR13" s="2231"/>
      <c r="BS13" s="2231"/>
      <c r="BT13" s="2231"/>
      <c r="BU13" s="2231"/>
      <c r="BV13" s="2231"/>
      <c r="BW13" s="806"/>
      <c r="BX13" s="806"/>
      <c r="BY13" s="2231"/>
      <c r="BZ13" s="2231"/>
      <c r="CA13" s="2692"/>
      <c r="CB13" s="677" t="s">
        <v>1716</v>
      </c>
      <c r="CC13" s="1402" t="s">
        <v>1717</v>
      </c>
      <c r="CD13" s="880"/>
      <c r="CE13" s="880"/>
      <c r="CF13" s="880"/>
      <c r="CG13" s="880"/>
      <c r="CH13" s="880"/>
      <c r="CI13" s="880"/>
      <c r="CJ13" s="880"/>
      <c r="CK13" s="880"/>
      <c r="CL13" s="880"/>
      <c r="CM13" s="880"/>
      <c r="CN13" s="880"/>
      <c r="CO13" s="1075"/>
      <c r="CP13" s="1075"/>
      <c r="CQ13" s="1075"/>
      <c r="CR13" s="1078"/>
      <c r="CS13" s="2692"/>
      <c r="CT13" s="1402" t="s">
        <v>1718</v>
      </c>
      <c r="CU13" s="880"/>
      <c r="CV13" s="880"/>
      <c r="CW13" s="880"/>
      <c r="CX13" s="880"/>
      <c r="CY13" s="880"/>
      <c r="CZ13" s="880"/>
      <c r="DA13" s="880"/>
      <c r="DB13" s="880"/>
      <c r="DC13" s="880"/>
      <c r="DD13" s="880"/>
      <c r="DE13" s="880"/>
      <c r="DF13" s="880"/>
      <c r="DG13" s="24"/>
      <c r="DH13" s="24"/>
      <c r="DI13" s="26"/>
      <c r="DJ13" s="2464"/>
      <c r="DK13" s="2657"/>
      <c r="DL13" s="2270"/>
      <c r="DM13" s="2270"/>
      <c r="DN13" s="2660"/>
    </row>
    <row r="14" spans="1:118" ht="32.25" customHeight="1">
      <c r="A14" s="2692"/>
      <c r="B14" s="2231"/>
      <c r="C14" s="2231"/>
      <c r="D14" s="1402"/>
      <c r="E14" s="1043"/>
      <c r="F14" s="1402"/>
      <c r="G14" s="1043"/>
      <c r="H14" s="880"/>
      <c r="I14" s="2256"/>
      <c r="J14" s="2258"/>
      <c r="K14" s="1402"/>
      <c r="L14" s="1043"/>
      <c r="M14" s="2257"/>
      <c r="N14" s="2702"/>
      <c r="O14" s="1108" t="s">
        <v>1719</v>
      </c>
      <c r="P14" s="2499"/>
      <c r="Q14" s="2677"/>
      <c r="R14" s="2678"/>
      <c r="S14" s="806" t="s">
        <v>1720</v>
      </c>
      <c r="T14" s="767"/>
      <c r="U14" s="766"/>
      <c r="V14" s="766"/>
      <c r="W14" s="766"/>
      <c r="X14" s="766"/>
      <c r="Y14" s="2231"/>
      <c r="Z14" s="2231"/>
      <c r="AA14" s="2231"/>
      <c r="AB14" s="2258"/>
      <c r="AC14" s="1767" t="s">
        <v>1721</v>
      </c>
      <c r="AD14" s="2692"/>
      <c r="AE14" s="766"/>
      <c r="AF14" s="766"/>
      <c r="AG14" s="2231"/>
      <c r="AH14" s="83"/>
      <c r="AI14" s="806"/>
      <c r="AJ14" s="806"/>
      <c r="AK14" s="2231"/>
      <c r="AL14" s="806"/>
      <c r="AM14" s="1765" t="s">
        <v>1722</v>
      </c>
      <c r="AN14" s="1766" t="s">
        <v>1722</v>
      </c>
      <c r="AO14" s="2692"/>
      <c r="AP14" s="2671"/>
      <c r="AQ14" s="2671"/>
      <c r="AR14" s="2671"/>
      <c r="AS14" s="2671"/>
      <c r="AT14" s="2674"/>
      <c r="AU14" s="2674"/>
      <c r="AV14" s="2674"/>
      <c r="AW14" s="2674"/>
      <c r="AX14" s="2674"/>
      <c r="AY14" s="2674"/>
      <c r="AZ14" s="2674"/>
      <c r="BA14" s="2674"/>
      <c r="BB14" s="2674"/>
      <c r="BC14" s="2674"/>
      <c r="BD14" s="2674"/>
      <c r="BE14" s="2671"/>
      <c r="BF14" s="2674"/>
      <c r="BG14" s="2674"/>
      <c r="BH14" s="2674"/>
      <c r="BI14" s="2674"/>
      <c r="BJ14" s="2231"/>
      <c r="BK14" s="2231"/>
      <c r="BL14" s="2231"/>
      <c r="BM14" s="2231"/>
      <c r="BN14" s="2692"/>
      <c r="BO14" s="2231"/>
      <c r="BP14" s="2231"/>
      <c r="BQ14" s="2231"/>
      <c r="BR14" s="2231"/>
      <c r="BS14" s="2231"/>
      <c r="BT14" s="2231"/>
      <c r="BU14" s="2231"/>
      <c r="BV14" s="2231"/>
      <c r="BW14" s="1434" t="s">
        <v>1723</v>
      </c>
      <c r="BX14" s="1434"/>
      <c r="BY14" s="1077"/>
      <c r="BZ14" s="677"/>
      <c r="CA14" s="2692"/>
      <c r="CB14" s="677" t="s">
        <v>1724</v>
      </c>
      <c r="CC14" s="1402"/>
      <c r="CD14" s="880"/>
      <c r="CE14" s="880"/>
      <c r="CF14" s="880"/>
      <c r="CG14" s="880"/>
      <c r="CH14" s="880"/>
      <c r="CI14" s="880"/>
      <c r="CJ14" s="880"/>
      <c r="CK14" s="880"/>
      <c r="CL14" s="880"/>
      <c r="CM14" s="880"/>
      <c r="CN14" s="880"/>
      <c r="CO14" s="1075"/>
      <c r="CP14" s="1075"/>
      <c r="CQ14" s="1075"/>
      <c r="CR14" s="1078"/>
      <c r="CS14" s="2692"/>
      <c r="CT14" s="1402"/>
      <c r="CU14" s="880"/>
      <c r="CV14" s="880"/>
      <c r="CW14" s="880"/>
      <c r="CX14" s="880"/>
      <c r="CY14" s="880"/>
      <c r="CZ14" s="880"/>
      <c r="DA14" s="880"/>
      <c r="DB14" s="880"/>
      <c r="DC14" s="880"/>
      <c r="DD14" s="880"/>
      <c r="DE14" s="880"/>
      <c r="DF14" s="880"/>
      <c r="DG14" s="24"/>
      <c r="DH14" s="24"/>
      <c r="DI14" s="26"/>
      <c r="DJ14" s="2464"/>
      <c r="DK14" s="2657"/>
      <c r="DL14" s="2270"/>
      <c r="DM14" s="2270"/>
      <c r="DN14" s="2660"/>
    </row>
    <row r="15" spans="1:118" ht="13.5" customHeight="1">
      <c r="A15" s="2692"/>
      <c r="B15" s="2231"/>
      <c r="C15" s="1434"/>
      <c r="D15" s="1402"/>
      <c r="E15" s="1043"/>
      <c r="F15" s="1402"/>
      <c r="G15" s="1043"/>
      <c r="H15" s="880"/>
      <c r="I15" s="1434"/>
      <c r="J15" s="1044"/>
      <c r="K15" s="1402"/>
      <c r="L15" s="1043"/>
      <c r="M15" s="1071"/>
      <c r="N15" s="2703"/>
      <c r="O15" s="1047"/>
      <c r="P15" s="2499"/>
      <c r="Q15" s="2677" t="str">
        <f>CONCATENATE("3 Posto móvel na via pública ► (",W5,")")</f>
        <v>3 Posto móvel na via pública ► (10,28)</v>
      </c>
      <c r="R15" s="2678"/>
      <c r="S15" s="2231" t="str">
        <f>CONCATENATE("2 Arrendatário ►(",U5,")")</f>
        <v>2 Arrendatário ►(10,26)</v>
      </c>
      <c r="T15" s="767"/>
      <c r="U15" s="767" t="s">
        <v>109</v>
      </c>
      <c r="V15" s="767" t="s">
        <v>109</v>
      </c>
      <c r="W15" s="767" t="s">
        <v>109</v>
      </c>
      <c r="X15" s="2199" t="s">
        <v>1725</v>
      </c>
      <c r="AB15" s="2258" t="s">
        <v>1726</v>
      </c>
      <c r="AC15" s="1047" t="s">
        <v>1727</v>
      </c>
      <c r="AD15" s="2692"/>
      <c r="AE15" s="767"/>
      <c r="AF15" s="767"/>
      <c r="AG15" s="767"/>
      <c r="AH15" s="83"/>
      <c r="AI15" s="767"/>
      <c r="AJ15" s="806"/>
      <c r="AK15" s="2231"/>
      <c r="AL15" s="806"/>
      <c r="AM15" s="2701" t="s">
        <v>1728</v>
      </c>
      <c r="AN15" s="2701" t="s">
        <v>1728</v>
      </c>
      <c r="AO15" s="2692"/>
      <c r="AP15" s="2671"/>
      <c r="AQ15" s="2671"/>
      <c r="AR15" s="2671"/>
      <c r="AS15" s="2671"/>
      <c r="AT15" s="2674"/>
      <c r="AU15" s="2674"/>
      <c r="AV15" s="2674"/>
      <c r="AW15" s="2674"/>
      <c r="AX15" s="2674"/>
      <c r="AY15" s="2674"/>
      <c r="AZ15" s="2674"/>
      <c r="BA15" s="2674"/>
      <c r="BB15" s="2674"/>
      <c r="BC15" s="2674"/>
      <c r="BD15" s="2674"/>
      <c r="BE15" s="2671"/>
      <c r="BF15" s="2674"/>
      <c r="BG15" s="2674"/>
      <c r="BH15" s="2674"/>
      <c r="BI15" s="2674"/>
      <c r="BJ15" s="2231"/>
      <c r="BK15" s="2231"/>
      <c r="BL15" s="2231"/>
      <c r="BM15" s="2231"/>
      <c r="BN15" s="2692"/>
      <c r="BO15" s="2231"/>
      <c r="BP15" s="2231"/>
      <c r="BQ15" s="2231"/>
      <c r="BR15" s="2231"/>
      <c r="BS15" s="2231"/>
      <c r="BT15" s="2231"/>
      <c r="BU15" s="2231"/>
      <c r="BV15" s="2231"/>
      <c r="BW15" s="2231" t="s">
        <v>1729</v>
      </c>
      <c r="BX15" s="1434" t="s">
        <v>106</v>
      </c>
      <c r="BY15" s="1077"/>
      <c r="BZ15" s="1768"/>
      <c r="CA15" s="2692"/>
      <c r="CB15" s="677" t="s">
        <v>1730</v>
      </c>
      <c r="CC15" s="1402" t="s">
        <v>1731</v>
      </c>
      <c r="CD15" s="880"/>
      <c r="CE15" s="880"/>
      <c r="CF15" s="880"/>
      <c r="CG15" s="880"/>
      <c r="CH15" s="880"/>
      <c r="CI15" s="880"/>
      <c r="CJ15" s="880"/>
      <c r="CK15" s="880"/>
      <c r="CL15" s="880"/>
      <c r="CM15" s="880"/>
      <c r="CN15" s="880"/>
      <c r="CO15" s="1075"/>
      <c r="CP15" s="1075"/>
      <c r="CQ15" s="1075"/>
      <c r="CR15" s="1078"/>
      <c r="CS15" s="2692"/>
      <c r="CT15" s="1402" t="s">
        <v>1732</v>
      </c>
      <c r="CU15" s="880"/>
      <c r="CV15" s="880"/>
      <c r="CW15" s="880"/>
      <c r="CX15" s="880"/>
      <c r="CY15" s="880"/>
      <c r="CZ15" s="880"/>
      <c r="DA15" s="880"/>
      <c r="DB15" s="880"/>
      <c r="DC15" s="880"/>
      <c r="DD15" s="880"/>
      <c r="DE15" s="880"/>
      <c r="DF15" s="880"/>
      <c r="DG15" s="24"/>
      <c r="DH15" s="24"/>
      <c r="DI15" s="26"/>
      <c r="DJ15" s="2464"/>
      <c r="DK15" s="2657"/>
      <c r="DL15" s="2270"/>
      <c r="DM15" s="2270"/>
      <c r="DN15" s="2660"/>
    </row>
    <row r="16" spans="1:118" ht="13.5" customHeight="1">
      <c r="A16" s="2692"/>
      <c r="B16" s="2231"/>
      <c r="C16" s="1434"/>
      <c r="D16" s="1402"/>
      <c r="E16" s="1043"/>
      <c r="F16" s="1402"/>
      <c r="G16" s="1043"/>
      <c r="H16" s="880"/>
      <c r="I16" s="1434"/>
      <c r="J16" s="1044"/>
      <c r="K16" s="1402"/>
      <c r="L16" s="1043"/>
      <c r="M16" s="1071"/>
      <c r="N16" s="2199" t="str">
        <f>CONCATENATE("SE ZERO ►(", TEXT(Q5,"00,23"),")")</f>
        <v>SE ZERO ►(10,23)</v>
      </c>
      <c r="O16" s="766"/>
      <c r="P16" s="2499"/>
      <c r="Q16" s="2677"/>
      <c r="R16" s="2678"/>
      <c r="S16" s="2231"/>
      <c r="T16" s="766"/>
      <c r="U16" s="767" t="s">
        <v>110</v>
      </c>
      <c r="V16" s="767" t="s">
        <v>110</v>
      </c>
      <c r="W16" s="767" t="s">
        <v>110</v>
      </c>
      <c r="X16" s="2199"/>
      <c r="Z16" s="767" t="s">
        <v>109</v>
      </c>
      <c r="AB16" s="2258"/>
      <c r="AC16" s="806" t="s">
        <v>1733</v>
      </c>
      <c r="AD16" s="2692"/>
      <c r="AE16" s="2199"/>
      <c r="AF16" s="767"/>
      <c r="AG16" s="2199"/>
      <c r="AH16" s="678"/>
      <c r="AI16" s="1123"/>
      <c r="AJ16" s="677"/>
      <c r="AK16" s="2231"/>
      <c r="AL16" s="677"/>
      <c r="AM16" s="2701"/>
      <c r="AN16" s="2701"/>
      <c r="AO16" s="2692"/>
      <c r="AP16" s="2671"/>
      <c r="AQ16" s="2671"/>
      <c r="AR16" s="2671"/>
      <c r="AS16" s="2671"/>
      <c r="AT16" s="2674"/>
      <c r="AU16" s="2674"/>
      <c r="AV16" s="2674"/>
      <c r="AW16" s="2674"/>
      <c r="AX16" s="2674"/>
      <c r="AY16" s="2674"/>
      <c r="AZ16" s="2674"/>
      <c r="BA16" s="2674"/>
      <c r="BB16" s="2674"/>
      <c r="BC16" s="2674"/>
      <c r="BD16" s="2674"/>
      <c r="BE16" s="2671"/>
      <c r="BF16" s="2674"/>
      <c r="BG16" s="2674"/>
      <c r="BH16" s="2674"/>
      <c r="BI16" s="2674"/>
      <c r="BJ16" s="2231"/>
      <c r="BK16" s="2231"/>
      <c r="BL16" s="2231"/>
      <c r="BM16" s="2231"/>
      <c r="BN16" s="2692"/>
      <c r="BO16" s="2231"/>
      <c r="BP16" s="2231"/>
      <c r="BQ16" s="2231"/>
      <c r="BR16" s="2231"/>
      <c r="BS16" s="2231"/>
      <c r="BT16" s="2231"/>
      <c r="BU16" s="2231"/>
      <c r="BV16" s="2231"/>
      <c r="BW16" s="2231"/>
      <c r="BX16" s="1434" t="s">
        <v>267</v>
      </c>
      <c r="BY16" s="1434" t="s">
        <v>109</v>
      </c>
      <c r="BZ16" s="2543" t="str">
        <f>CONCATENATE("Se 12 ►(",ROUND(CC5,2),")")</f>
        <v>Se 12 ►(10,61)</v>
      </c>
      <c r="CA16" s="2692"/>
      <c r="CB16" s="677" t="s">
        <v>1734</v>
      </c>
      <c r="CC16" s="1402"/>
      <c r="CD16" s="880"/>
      <c r="CE16" s="880"/>
      <c r="CF16" s="880"/>
      <c r="CG16" s="880"/>
      <c r="CH16" s="880"/>
      <c r="CI16" s="880"/>
      <c r="CJ16" s="880"/>
      <c r="CK16" s="880"/>
      <c r="CL16" s="880"/>
      <c r="CM16" s="880"/>
      <c r="CN16" s="880"/>
      <c r="CO16" s="1075"/>
      <c r="CP16" s="1075"/>
      <c r="CQ16" s="1075"/>
      <c r="CR16" s="1078"/>
      <c r="CS16" s="2692"/>
      <c r="CT16" s="1077"/>
      <c r="CU16" s="1075"/>
      <c r="CV16" s="1075"/>
      <c r="CW16" s="1075"/>
      <c r="CX16" s="880"/>
      <c r="CY16" s="880"/>
      <c r="CZ16" s="880"/>
      <c r="DA16" s="880"/>
      <c r="DB16" s="880"/>
      <c r="DC16" s="880"/>
      <c r="DD16" s="880"/>
      <c r="DE16" s="880"/>
      <c r="DF16" s="880"/>
      <c r="DG16" s="24"/>
      <c r="DH16" s="24"/>
      <c r="DI16" s="26"/>
      <c r="DJ16" s="2464"/>
      <c r="DK16" s="2657"/>
      <c r="DL16" s="2270"/>
      <c r="DM16" s="2270"/>
      <c r="DN16" s="2660"/>
    </row>
    <row r="17" spans="1:118" ht="33" customHeight="1">
      <c r="A17" s="2692"/>
      <c r="B17" s="2231"/>
      <c r="C17" s="1434"/>
      <c r="D17" s="1402"/>
      <c r="E17" s="1043"/>
      <c r="F17" s="1402"/>
      <c r="G17" s="1043"/>
      <c r="H17" s="880"/>
      <c r="I17" s="1402"/>
      <c r="J17" s="1043"/>
      <c r="K17" s="1402"/>
      <c r="L17" s="1043"/>
      <c r="M17" s="880"/>
      <c r="N17" s="2702"/>
      <c r="O17" s="766"/>
      <c r="P17" s="2499"/>
      <c r="Q17" s="2256" t="str">
        <f>CONCATENATE("4 No domicílio ►(",W5,")")</f>
        <v>4 No domicílio ►(10,28)</v>
      </c>
      <c r="R17" s="2258"/>
      <c r="S17" s="1769"/>
      <c r="T17" s="1047"/>
      <c r="U17" s="766"/>
      <c r="V17" s="766"/>
      <c r="W17" s="766"/>
      <c r="X17" s="2199"/>
      <c r="Y17" s="767" t="s">
        <v>109</v>
      </c>
      <c r="Z17" s="767" t="s">
        <v>110</v>
      </c>
      <c r="AB17" s="2258"/>
      <c r="AC17" s="806" t="s">
        <v>1735</v>
      </c>
      <c r="AD17" s="2692"/>
      <c r="AE17" s="2199"/>
      <c r="AF17" s="766"/>
      <c r="AG17" s="2199"/>
      <c r="AH17" s="1044"/>
      <c r="AI17" s="1123"/>
      <c r="AJ17" s="766"/>
      <c r="AK17" s="1123"/>
      <c r="AL17" s="766"/>
      <c r="AM17" s="1765" t="s">
        <v>1736</v>
      </c>
      <c r="AN17" s="1766" t="s">
        <v>1736</v>
      </c>
      <c r="AO17" s="2692"/>
      <c r="AP17" s="2671"/>
      <c r="AQ17" s="2671"/>
      <c r="AR17" s="2671"/>
      <c r="AS17" s="2671"/>
      <c r="AT17" s="2674"/>
      <c r="AU17" s="2674"/>
      <c r="AV17" s="2674"/>
      <c r="AW17" s="2674"/>
      <c r="AX17" s="2674"/>
      <c r="AY17" s="2674"/>
      <c r="AZ17" s="2674"/>
      <c r="BA17" s="2674"/>
      <c r="BB17" s="2674"/>
      <c r="BC17" s="2674"/>
      <c r="BD17" s="2674"/>
      <c r="BE17" s="2671"/>
      <c r="BF17" s="2674"/>
      <c r="BG17" s="2674"/>
      <c r="BH17" s="2674"/>
      <c r="BI17" s="2674"/>
      <c r="BJ17" s="2231"/>
      <c r="BK17" s="2231"/>
      <c r="BL17" s="2231"/>
      <c r="BM17" s="2231"/>
      <c r="BN17" s="2692"/>
      <c r="BO17" s="2231"/>
      <c r="BP17" s="2231"/>
      <c r="BQ17" s="2231"/>
      <c r="BR17" s="2231"/>
      <c r="BS17" s="2231"/>
      <c r="BT17" s="2231"/>
      <c r="BU17" s="2231"/>
      <c r="BV17" s="2231"/>
      <c r="BW17" s="2231" t="s">
        <v>1737</v>
      </c>
      <c r="BX17" s="1434"/>
      <c r="BY17" s="1434" t="s">
        <v>110</v>
      </c>
      <c r="BZ17" s="2543"/>
      <c r="CA17" s="2692"/>
      <c r="CB17" s="677" t="s">
        <v>1738</v>
      </c>
      <c r="CC17" s="1402"/>
      <c r="CD17" s="880"/>
      <c r="CE17" s="880"/>
      <c r="CF17" s="880"/>
      <c r="CG17" s="880"/>
      <c r="CH17" s="880"/>
      <c r="CI17" s="880"/>
      <c r="CJ17" s="880"/>
      <c r="CK17" s="880"/>
      <c r="CL17" s="880"/>
      <c r="CM17" s="880"/>
      <c r="CN17" s="880"/>
      <c r="CO17" s="1082"/>
      <c r="CP17" s="1770"/>
      <c r="CQ17" s="1770"/>
      <c r="CR17" s="1771"/>
      <c r="CS17" s="2692"/>
      <c r="CT17" s="1772"/>
      <c r="CU17" s="1075"/>
      <c r="CV17" s="1075"/>
      <c r="CW17" s="1075"/>
      <c r="CX17" s="880"/>
      <c r="CY17" s="880"/>
      <c r="CZ17" s="880"/>
      <c r="DA17" s="880"/>
      <c r="DB17" s="880"/>
      <c r="DC17" s="880"/>
      <c r="DD17" s="880"/>
      <c r="DE17" s="880"/>
      <c r="DF17" s="880"/>
      <c r="DG17" s="24"/>
      <c r="DH17" s="24"/>
      <c r="DI17" s="26"/>
      <c r="DJ17" s="2464"/>
      <c r="DK17" s="2657"/>
      <c r="DL17" s="2270"/>
      <c r="DM17" s="2270"/>
      <c r="DN17" s="2660"/>
    </row>
    <row r="18" spans="1:118" ht="27">
      <c r="A18" s="2692"/>
      <c r="B18" s="2231"/>
      <c r="C18" s="1402"/>
      <c r="D18" s="1402"/>
      <c r="E18" s="1043"/>
      <c r="F18" s="1402"/>
      <c r="G18" s="1043"/>
      <c r="H18" s="1773"/>
      <c r="I18" s="1402"/>
      <c r="J18" s="1043"/>
      <c r="K18" s="1402"/>
      <c r="L18" s="1043"/>
      <c r="M18" s="880"/>
      <c r="N18" s="2703"/>
      <c r="O18" s="766"/>
      <c r="P18" s="2499"/>
      <c r="Q18" s="2256" t="str">
        <f>CONCATENATE("5 Domicílio dos clientes ►(",W5,")")</f>
        <v>5 Domicílio dos clientes ►(10,28)</v>
      </c>
      <c r="R18" s="2258"/>
      <c r="S18" s="1769"/>
      <c r="T18" s="1047"/>
      <c r="U18" s="1047"/>
      <c r="V18" s="1047"/>
      <c r="W18" s="1047"/>
      <c r="X18" s="2199" t="s">
        <v>1739</v>
      </c>
      <c r="Y18" s="767" t="s">
        <v>110</v>
      </c>
      <c r="Z18" s="1047"/>
      <c r="AB18" s="2258"/>
      <c r="AC18" s="677" t="s">
        <v>1049</v>
      </c>
      <c r="AD18" s="2692"/>
      <c r="AE18" s="767" t="s">
        <v>109</v>
      </c>
      <c r="AF18" s="767"/>
      <c r="AG18" s="767" t="s">
        <v>109</v>
      </c>
      <c r="AH18" s="83"/>
      <c r="AI18" s="767" t="s">
        <v>109</v>
      </c>
      <c r="AJ18" s="806"/>
      <c r="AK18" s="767" t="s">
        <v>109</v>
      </c>
      <c r="AL18" s="766"/>
      <c r="AM18" s="1765" t="s">
        <v>1740</v>
      </c>
      <c r="AN18" s="1766" t="s">
        <v>1740</v>
      </c>
      <c r="AO18" s="2692"/>
      <c r="AP18" s="2671"/>
      <c r="AQ18" s="2671"/>
      <c r="AR18" s="2671"/>
      <c r="AS18" s="2671"/>
      <c r="AT18" s="2674"/>
      <c r="AU18" s="2674"/>
      <c r="AV18" s="2674"/>
      <c r="AW18" s="2674"/>
      <c r="AX18" s="2674"/>
      <c r="AY18" s="2674"/>
      <c r="AZ18" s="2674"/>
      <c r="BA18" s="2674"/>
      <c r="BB18" s="2674"/>
      <c r="BC18" s="2674"/>
      <c r="BD18" s="2674"/>
      <c r="BE18" s="2671"/>
      <c r="BF18" s="2674"/>
      <c r="BG18" s="2674"/>
      <c r="BH18" s="2674"/>
      <c r="BI18" s="2674"/>
      <c r="BJ18" s="766"/>
      <c r="BK18" s="766"/>
      <c r="BL18" s="766"/>
      <c r="BM18" s="766"/>
      <c r="BN18" s="2692"/>
      <c r="BO18" s="766"/>
      <c r="BP18" s="2231"/>
      <c r="BQ18" s="766"/>
      <c r="BR18" s="766"/>
      <c r="BS18" s="766"/>
      <c r="BT18" s="766"/>
      <c r="BU18" s="766"/>
      <c r="BV18" s="766"/>
      <c r="BW18" s="2231"/>
      <c r="BX18" s="1434"/>
      <c r="BY18" s="1774"/>
      <c r="BZ18" s="1769"/>
      <c r="CA18" s="2692"/>
      <c r="CB18" s="677" t="s">
        <v>1741</v>
      </c>
      <c r="CC18" s="1402"/>
      <c r="CD18" s="880"/>
      <c r="CE18" s="880"/>
      <c r="CF18" s="880"/>
      <c r="CG18" s="880"/>
      <c r="CH18" s="880"/>
      <c r="CI18" s="880"/>
      <c r="CJ18" s="880"/>
      <c r="CK18" s="880"/>
      <c r="CL18" s="880"/>
      <c r="CM18" s="880"/>
      <c r="CN18" s="880"/>
      <c r="CO18" s="1082"/>
      <c r="CP18" s="1770"/>
      <c r="CQ18" s="1770"/>
      <c r="CR18" s="1771"/>
      <c r="CS18" s="2692"/>
      <c r="CT18" s="1772"/>
      <c r="CU18" s="1775"/>
      <c r="CV18" s="1071"/>
      <c r="CW18" s="1071"/>
      <c r="CX18" s="880"/>
      <c r="CY18" s="880"/>
      <c r="CZ18" s="880"/>
      <c r="DA18" s="880"/>
      <c r="DB18" s="880"/>
      <c r="DC18" s="880"/>
      <c r="DD18" s="880"/>
      <c r="DE18" s="880"/>
      <c r="DF18" s="880"/>
      <c r="DG18" s="24"/>
      <c r="DH18" s="24"/>
      <c r="DI18" s="26"/>
      <c r="DJ18" s="678"/>
      <c r="DK18" s="2657"/>
      <c r="DL18" s="2270"/>
      <c r="DM18" s="2270"/>
      <c r="DN18" s="2660"/>
    </row>
    <row r="19" spans="1:118" ht="13.5" customHeight="1">
      <c r="A19" s="2692"/>
      <c r="B19" s="2231"/>
      <c r="C19" s="1402"/>
      <c r="D19" s="1402"/>
      <c r="E19" s="1043"/>
      <c r="F19" s="1402"/>
      <c r="G19" s="1043"/>
      <c r="H19" s="1773"/>
      <c r="I19" s="1402"/>
      <c r="J19" s="1043"/>
      <c r="K19" s="1402"/>
      <c r="L19" s="1043"/>
      <c r="M19" s="880"/>
      <c r="N19" s="1776"/>
      <c r="O19" s="766"/>
      <c r="P19" s="2499"/>
      <c r="Q19" s="1772" t="str">
        <f>CONCATENATE("6 Viatura, motorizada ►(",W5,")")</f>
        <v>6 Viatura, motorizada ►(10,28)</v>
      </c>
      <c r="S19" s="1769"/>
      <c r="T19" s="1047"/>
      <c r="U19" s="1047"/>
      <c r="V19" s="1047"/>
      <c r="W19" s="1047"/>
      <c r="X19" s="2199"/>
      <c r="Y19" s="1047"/>
      <c r="Z19" s="1047"/>
      <c r="AB19" s="1078"/>
      <c r="AC19" s="766"/>
      <c r="AD19" s="2692"/>
      <c r="AE19" s="2199" t="str">
        <f>CONCATENATE("2. Não ►(",ROUND(AG5,2),")")</f>
        <v>2. Não ►(10,37)</v>
      </c>
      <c r="AF19" s="767"/>
      <c r="AG19" s="2199" t="str">
        <f>CONCATENATE("2. Não ►(",ROUND(AI5,2),")")</f>
        <v>2. Não ►(10,39)</v>
      </c>
      <c r="AH19" s="678"/>
      <c r="AI19" s="2199" t="str">
        <f>CONCATENATE("2. Não ►(",TEXT(ROUND(AK5,2),"0,41"),")")</f>
        <v>2. Não ►(10,41)</v>
      </c>
      <c r="AJ19" s="677"/>
      <c r="AK19" s="2199" t="str">
        <f>CONCATENATE("2. Não ►(",ROUND(AM5,2),")")</f>
        <v>2. Não ►(10,43)</v>
      </c>
      <c r="AL19" s="766"/>
      <c r="AM19" s="1777" t="s">
        <v>1742</v>
      </c>
      <c r="AN19" s="1778" t="s">
        <v>1743</v>
      </c>
      <c r="AO19" s="2692"/>
      <c r="AP19" s="2671"/>
      <c r="AQ19" s="2671"/>
      <c r="AR19" s="2671"/>
      <c r="AS19" s="2671"/>
      <c r="AT19" s="2674"/>
      <c r="AU19" s="2674"/>
      <c r="AV19" s="2674"/>
      <c r="AW19" s="2674"/>
      <c r="AX19" s="2674"/>
      <c r="AY19" s="2674"/>
      <c r="AZ19" s="2674"/>
      <c r="BA19" s="2674"/>
      <c r="BB19" s="2674"/>
      <c r="BC19" s="2674"/>
      <c r="BD19" s="2674"/>
      <c r="BE19" s="2671"/>
      <c r="BF19" s="2674"/>
      <c r="BG19" s="2674"/>
      <c r="BH19" s="2674"/>
      <c r="BI19" s="2674"/>
      <c r="BJ19" s="677"/>
      <c r="BK19" s="677"/>
      <c r="BL19" s="677"/>
      <c r="BM19" s="677"/>
      <c r="BN19" s="2692"/>
      <c r="BO19" s="677"/>
      <c r="BP19" s="677"/>
      <c r="BQ19" s="677"/>
      <c r="BR19" s="677"/>
      <c r="BS19" s="677"/>
      <c r="BT19" s="677"/>
      <c r="BU19" s="677"/>
      <c r="BV19" s="677"/>
      <c r="BW19" s="677"/>
      <c r="BX19" s="1434"/>
      <c r="BY19" s="1774"/>
      <c r="BZ19" s="1769"/>
      <c r="CA19" s="2692"/>
      <c r="CB19" s="677" t="s">
        <v>1744</v>
      </c>
      <c r="CC19" s="1402"/>
      <c r="CD19" s="880"/>
      <c r="CE19" s="880"/>
      <c r="CF19" s="880"/>
      <c r="CG19" s="880"/>
      <c r="CH19" s="880"/>
      <c r="CI19" s="880"/>
      <c r="CJ19" s="880"/>
      <c r="CK19" s="880"/>
      <c r="CL19" s="880"/>
      <c r="CM19" s="880"/>
      <c r="CN19" s="880"/>
      <c r="CO19" s="1082"/>
      <c r="CP19" s="1770"/>
      <c r="CQ19" s="1770"/>
      <c r="CR19" s="1771"/>
      <c r="CS19" s="2692"/>
      <c r="CT19" s="1772"/>
      <c r="CU19" s="1775"/>
      <c r="CV19" s="1071"/>
      <c r="CW19" s="1071"/>
      <c r="CX19" s="880"/>
      <c r="CY19" s="880"/>
      <c r="CZ19" s="880"/>
      <c r="DA19" s="880"/>
      <c r="DB19" s="880"/>
      <c r="DC19" s="880"/>
      <c r="DD19" s="880"/>
      <c r="DE19" s="880"/>
      <c r="DF19" s="880"/>
      <c r="DG19" s="24"/>
      <c r="DH19" s="24"/>
      <c r="DI19" s="26"/>
      <c r="DJ19" s="678"/>
      <c r="DK19" s="2657"/>
      <c r="DL19" s="2270"/>
      <c r="DM19" s="2270"/>
      <c r="DN19" s="2660"/>
    </row>
    <row r="20" spans="1:118" ht="13.5" customHeight="1">
      <c r="A20" s="2692"/>
      <c r="B20" s="2231"/>
      <c r="C20" s="1402"/>
      <c r="D20" s="1402"/>
      <c r="E20" s="1043"/>
      <c r="F20" s="1402"/>
      <c r="G20" s="1043"/>
      <c r="H20" s="1773"/>
      <c r="I20" s="1402"/>
      <c r="J20" s="1043"/>
      <c r="K20" s="1402"/>
      <c r="L20" s="1043"/>
      <c r="M20" s="880"/>
      <c r="N20" s="1776"/>
      <c r="O20" s="766"/>
      <c r="P20" s="2499"/>
      <c r="Q20" s="1772" t="str">
        <f>CONCATENATE("7 Ambulante ► (",W5,")")</f>
        <v>7 Ambulante ► (10,28)</v>
      </c>
      <c r="R20" s="1770"/>
      <c r="S20" s="1769"/>
      <c r="T20" s="1047"/>
      <c r="U20" s="1047"/>
      <c r="V20" s="1047"/>
      <c r="W20" s="1047"/>
      <c r="X20" s="2199"/>
      <c r="Y20" s="1047"/>
      <c r="Z20" s="1047"/>
      <c r="AA20" s="767" t="s">
        <v>109</v>
      </c>
      <c r="AB20" s="2235" t="s">
        <v>1745</v>
      </c>
      <c r="AC20" s="766"/>
      <c r="AD20" s="2692"/>
      <c r="AE20" s="2199"/>
      <c r="AF20" s="766"/>
      <c r="AG20" s="2199"/>
      <c r="AH20" s="1044"/>
      <c r="AI20" s="2199"/>
      <c r="AJ20" s="766"/>
      <c r="AK20" s="2199"/>
      <c r="AL20" s="766"/>
      <c r="AM20" s="1779" t="s">
        <v>1746</v>
      </c>
      <c r="AN20" s="766"/>
      <c r="AO20" s="2692"/>
      <c r="AP20" s="2671"/>
      <c r="AQ20" s="2671"/>
      <c r="AR20" s="2671"/>
      <c r="AS20" s="2671"/>
      <c r="AT20" s="2674"/>
      <c r="AU20" s="2674"/>
      <c r="AV20" s="2674"/>
      <c r="AW20" s="2674"/>
      <c r="AX20" s="2674"/>
      <c r="AY20" s="2674"/>
      <c r="AZ20" s="2674"/>
      <c r="BA20" s="2674"/>
      <c r="BB20" s="2674"/>
      <c r="BC20" s="2674"/>
      <c r="BD20" s="2674"/>
      <c r="BE20" s="2671"/>
      <c r="BF20" s="2674"/>
      <c r="BG20" s="2674"/>
      <c r="BH20" s="2674"/>
      <c r="BI20" s="2674"/>
      <c r="BJ20" s="2543" t="s">
        <v>1747</v>
      </c>
      <c r="BK20" s="2543" t="s">
        <v>1747</v>
      </c>
      <c r="BL20" s="2543" t="s">
        <v>1747</v>
      </c>
      <c r="BM20" s="2543" t="s">
        <v>1747</v>
      </c>
      <c r="BN20" s="2692"/>
      <c r="BO20" s="2543" t="s">
        <v>1747</v>
      </c>
      <c r="BP20" s="2543" t="s">
        <v>1747</v>
      </c>
      <c r="BQ20" s="2543" t="s">
        <v>1747</v>
      </c>
      <c r="BR20" s="2543" t="s">
        <v>1747</v>
      </c>
      <c r="BS20" s="2543" t="s">
        <v>1747</v>
      </c>
      <c r="BT20" s="2543" t="s">
        <v>1747</v>
      </c>
      <c r="BU20" s="2543" t="s">
        <v>1747</v>
      </c>
      <c r="BV20" s="2543" t="s">
        <v>1747</v>
      </c>
      <c r="BW20" s="2231" t="s">
        <v>1748</v>
      </c>
      <c r="BX20" s="1434"/>
      <c r="BY20" s="1774"/>
      <c r="BZ20" s="1769"/>
      <c r="CA20" s="2692"/>
      <c r="CB20" s="677" t="s">
        <v>1749</v>
      </c>
      <c r="CC20" s="1402"/>
      <c r="CD20" s="880"/>
      <c r="CE20" s="880"/>
      <c r="CF20" s="880"/>
      <c r="CG20" s="880"/>
      <c r="CH20" s="880"/>
      <c r="CI20" s="880"/>
      <c r="CJ20" s="880"/>
      <c r="CK20" s="880"/>
      <c r="CL20" s="880"/>
      <c r="CM20" s="880"/>
      <c r="CN20" s="880"/>
      <c r="CO20" s="1082"/>
      <c r="CP20" s="1770"/>
      <c r="CQ20" s="1770"/>
      <c r="CR20" s="1771"/>
      <c r="CS20" s="2692"/>
      <c r="CT20" s="1772"/>
      <c r="CU20" s="1775"/>
      <c r="CV20" s="1071"/>
      <c r="CW20" s="1071"/>
      <c r="CX20" s="880"/>
      <c r="CY20" s="880"/>
      <c r="CZ20" s="880"/>
      <c r="DA20" s="880"/>
      <c r="DB20" s="880"/>
      <c r="DC20" s="880"/>
      <c r="DD20" s="880"/>
      <c r="DE20" s="880"/>
      <c r="DF20" s="880"/>
      <c r="DG20" s="24"/>
      <c r="DH20" s="24"/>
      <c r="DI20" s="26"/>
      <c r="DJ20" s="678"/>
      <c r="DK20" s="2657"/>
      <c r="DL20" s="2270"/>
      <c r="DM20" s="2270"/>
      <c r="DN20" s="2660"/>
    </row>
    <row r="21" spans="1:118" ht="13.5" customHeight="1">
      <c r="A21" s="2692"/>
      <c r="B21" s="2231"/>
      <c r="C21" s="1402"/>
      <c r="D21" s="1402"/>
      <c r="E21" s="1043"/>
      <c r="F21" s="1402"/>
      <c r="G21" s="1043"/>
      <c r="H21" s="1773"/>
      <c r="I21" s="1402"/>
      <c r="J21" s="1043"/>
      <c r="K21" s="1402"/>
      <c r="L21" s="1043"/>
      <c r="M21" s="880"/>
      <c r="N21" s="1776"/>
      <c r="O21" s="766"/>
      <c r="P21" s="2499"/>
      <c r="Q21" s="1772" t="str">
        <f>CONCATENATE("8 Mercado ► (",W5,")")</f>
        <v>8 Mercado ► (10,28)</v>
      </c>
      <c r="R21" s="1770"/>
      <c r="S21" s="1769"/>
      <c r="T21" s="1047"/>
      <c r="U21" s="1047"/>
      <c r="V21" s="1047"/>
      <c r="W21" s="1047"/>
      <c r="X21" s="859"/>
      <c r="Y21" s="1047"/>
      <c r="Z21" s="1047"/>
      <c r="AA21" s="767" t="s">
        <v>110</v>
      </c>
      <c r="AB21" s="2235"/>
      <c r="AC21" s="766"/>
      <c r="AD21" s="2692"/>
      <c r="AE21" s="859"/>
      <c r="AF21" s="766"/>
      <c r="AG21" s="859"/>
      <c r="AH21" s="1044"/>
      <c r="AI21" s="953"/>
      <c r="AJ21" s="766"/>
      <c r="AK21" s="859"/>
      <c r="AL21" s="766"/>
      <c r="AM21" s="1779"/>
      <c r="AN21" s="766"/>
      <c r="AO21" s="2692"/>
      <c r="AP21" s="2671"/>
      <c r="AQ21" s="2671"/>
      <c r="AR21" s="2671"/>
      <c r="AS21" s="2671"/>
      <c r="AT21" s="2674"/>
      <c r="AU21" s="2674"/>
      <c r="AV21" s="2674"/>
      <c r="AW21" s="2674"/>
      <c r="AX21" s="2674"/>
      <c r="AY21" s="2674"/>
      <c r="AZ21" s="2674"/>
      <c r="BA21" s="2674"/>
      <c r="BB21" s="2674"/>
      <c r="BC21" s="2674"/>
      <c r="BD21" s="2674"/>
      <c r="BE21" s="2671"/>
      <c r="BF21" s="2674"/>
      <c r="BG21" s="2674"/>
      <c r="BH21" s="2674"/>
      <c r="BI21" s="2674"/>
      <c r="BJ21" s="2543"/>
      <c r="BK21" s="2543"/>
      <c r="BL21" s="2543"/>
      <c r="BM21" s="2543"/>
      <c r="BN21" s="2692"/>
      <c r="BO21" s="2543"/>
      <c r="BP21" s="2543"/>
      <c r="BQ21" s="2543"/>
      <c r="BR21" s="2543"/>
      <c r="BS21" s="2543"/>
      <c r="BT21" s="2543"/>
      <c r="BU21" s="2543"/>
      <c r="BV21" s="2543"/>
      <c r="BW21" s="2231"/>
      <c r="BX21" s="1780"/>
      <c r="BY21" s="1774"/>
      <c r="BZ21" s="1769"/>
      <c r="CA21" s="2692"/>
      <c r="CB21" s="677" t="s">
        <v>1750</v>
      </c>
      <c r="CC21" s="1402"/>
      <c r="CD21" s="880"/>
      <c r="CE21" s="880"/>
      <c r="CF21" s="880"/>
      <c r="CG21" s="880"/>
      <c r="CH21" s="880"/>
      <c r="CI21" s="880"/>
      <c r="CJ21" s="880"/>
      <c r="CK21" s="880"/>
      <c r="CL21" s="880"/>
      <c r="CM21" s="880"/>
      <c r="CN21" s="880"/>
      <c r="CO21" s="1082"/>
      <c r="CP21" s="1770"/>
      <c r="CQ21" s="1770"/>
      <c r="CR21" s="1771"/>
      <c r="CS21" s="2692"/>
      <c r="CT21" s="1772"/>
      <c r="CU21" s="1775"/>
      <c r="CV21" s="1071"/>
      <c r="CW21" s="1071"/>
      <c r="CX21" s="880"/>
      <c r="CY21" s="880"/>
      <c r="CZ21" s="880"/>
      <c r="DA21" s="880"/>
      <c r="DB21" s="880"/>
      <c r="DC21" s="880"/>
      <c r="DD21" s="880"/>
      <c r="DE21" s="880"/>
      <c r="DF21" s="880"/>
      <c r="DG21" s="24"/>
      <c r="DH21" s="24"/>
      <c r="DI21" s="26"/>
      <c r="DJ21" s="678"/>
      <c r="DK21" s="2657"/>
      <c r="DL21" s="2270"/>
      <c r="DM21" s="2270"/>
      <c r="DN21" s="2660"/>
    </row>
    <row r="22" spans="1:118" ht="13.5" customHeight="1">
      <c r="A22" s="2692"/>
      <c r="B22" s="2231"/>
      <c r="C22" s="1402"/>
      <c r="D22" s="1402"/>
      <c r="E22" s="1043"/>
      <c r="F22" s="1402"/>
      <c r="G22" s="1043"/>
      <c r="H22" s="1773"/>
      <c r="I22" s="1402"/>
      <c r="J22" s="1043"/>
      <c r="K22" s="1402"/>
      <c r="L22" s="1043"/>
      <c r="M22" s="880"/>
      <c r="N22" s="1776"/>
      <c r="O22" s="766"/>
      <c r="P22" s="2499"/>
      <c r="Q22" s="2256" t="str">
        <f>CONCATENATE("9 Outro (especificar) ►(",W5,")")</f>
        <v>9 Outro (especificar) ►(10,28)</v>
      </c>
      <c r="R22" s="2258"/>
      <c r="S22" s="1769"/>
      <c r="T22" s="1047"/>
      <c r="U22" s="1047"/>
      <c r="V22" s="1047"/>
      <c r="W22" s="1047"/>
      <c r="X22" s="2231" t="s">
        <v>1751</v>
      </c>
      <c r="Y22" s="1047"/>
      <c r="Z22" s="1047"/>
      <c r="AA22" s="1047" t="s">
        <v>1752</v>
      </c>
      <c r="AB22" s="2235"/>
      <c r="AC22" s="766"/>
      <c r="AD22" s="2692"/>
      <c r="AE22" s="1047"/>
      <c r="AF22" s="1047"/>
      <c r="AG22" s="1047"/>
      <c r="AH22" s="1044"/>
      <c r="AJ22" s="766"/>
      <c r="AK22" s="766"/>
      <c r="AL22" s="766"/>
      <c r="AM22" s="1779" t="s">
        <v>1753</v>
      </c>
      <c r="AN22" s="766"/>
      <c r="AO22" s="2692"/>
      <c r="AP22" s="2671"/>
      <c r="AQ22" s="2671"/>
      <c r="AR22" s="2671"/>
      <c r="AS22" s="2671"/>
      <c r="AT22" s="2674"/>
      <c r="AU22" s="2674"/>
      <c r="AV22" s="2674"/>
      <c r="AW22" s="2674"/>
      <c r="AX22" s="2674"/>
      <c r="AY22" s="2674"/>
      <c r="AZ22" s="2674"/>
      <c r="BA22" s="2674"/>
      <c r="BB22" s="2674"/>
      <c r="BC22" s="2674"/>
      <c r="BD22" s="2674"/>
      <c r="BE22" s="2671"/>
      <c r="BF22" s="2674"/>
      <c r="BG22" s="2674"/>
      <c r="BH22" s="2674"/>
      <c r="BI22" s="2674"/>
      <c r="BJ22" s="2543"/>
      <c r="BK22" s="2543"/>
      <c r="BL22" s="2543"/>
      <c r="BM22" s="2543"/>
      <c r="BN22" s="2692"/>
      <c r="BO22" s="2543"/>
      <c r="BP22" s="2543"/>
      <c r="BQ22" s="2543"/>
      <c r="BR22" s="2543"/>
      <c r="BS22" s="2543"/>
      <c r="BT22" s="2543"/>
      <c r="BU22" s="2543"/>
      <c r="BV22" s="2543"/>
      <c r="BW22" s="2256" t="str">
        <f>CONCATENATE("5 Nenhuma assistência ►(",TEXT(BY5,"0,00"),")")</f>
        <v>5 Nenhuma assistência ►(10,58)</v>
      </c>
      <c r="BX22" s="1780"/>
      <c r="BY22" s="1774"/>
      <c r="BZ22" s="1769"/>
      <c r="CA22" s="2692"/>
      <c r="CB22" s="677" t="s">
        <v>1754</v>
      </c>
      <c r="CC22" s="1402"/>
      <c r="CD22" s="880"/>
      <c r="CE22" s="880"/>
      <c r="CF22" s="880"/>
      <c r="CG22" s="880"/>
      <c r="CH22" s="880"/>
      <c r="CI22" s="880"/>
      <c r="CJ22" s="880"/>
      <c r="CK22" s="880"/>
      <c r="CL22" s="880"/>
      <c r="CM22" s="880"/>
      <c r="CN22" s="880"/>
      <c r="CO22" s="1082"/>
      <c r="CP22" s="1770"/>
      <c r="CQ22" s="1770"/>
      <c r="CR22" s="1771"/>
      <c r="CS22" s="2692"/>
      <c r="CT22" s="1772"/>
      <c r="CU22" s="1775"/>
      <c r="CV22" s="1071"/>
      <c r="CW22" s="1071"/>
      <c r="CX22" s="880"/>
      <c r="CY22" s="880"/>
      <c r="CZ22" s="880"/>
      <c r="DA22" s="880"/>
      <c r="DB22" s="880"/>
      <c r="DC22" s="880"/>
      <c r="DD22" s="880"/>
      <c r="DE22" s="880"/>
      <c r="DF22" s="880"/>
      <c r="DG22" s="24"/>
      <c r="DH22" s="24"/>
      <c r="DI22" s="26"/>
      <c r="DJ22" s="678"/>
      <c r="DK22" s="2657"/>
      <c r="DL22" s="2270"/>
      <c r="DM22" s="2270"/>
      <c r="DN22" s="2660"/>
    </row>
    <row r="23" spans="1:118" ht="13.5" customHeight="1">
      <c r="A23" s="2692"/>
      <c r="B23" s="2231"/>
      <c r="C23" s="1402"/>
      <c r="D23" s="1402"/>
      <c r="E23" s="1043"/>
      <c r="F23" s="1402"/>
      <c r="G23" s="1043"/>
      <c r="H23" s="1773"/>
      <c r="I23" s="1402"/>
      <c r="J23" s="1043"/>
      <c r="K23" s="1402"/>
      <c r="L23" s="1043"/>
      <c r="M23" s="880"/>
      <c r="N23" s="1776"/>
      <c r="O23" s="766"/>
      <c r="P23" s="2499"/>
      <c r="Q23" s="2256"/>
      <c r="R23" s="2258"/>
      <c r="S23" s="1769"/>
      <c r="T23" s="1047"/>
      <c r="U23" s="1047"/>
      <c r="V23" s="1047"/>
      <c r="W23" s="1047"/>
      <c r="X23" s="2231"/>
      <c r="Y23" s="1047"/>
      <c r="Z23" s="1047"/>
      <c r="AA23" s="806"/>
      <c r="AC23" s="766"/>
      <c r="AD23" s="2692"/>
      <c r="AE23" s="1047"/>
      <c r="AF23" s="1047"/>
      <c r="AG23" s="1047"/>
      <c r="AH23" s="1044"/>
      <c r="AJ23" s="766"/>
      <c r="AK23" s="766"/>
      <c r="AL23" s="766"/>
      <c r="AN23" s="766"/>
      <c r="AO23" s="2692"/>
      <c r="AP23" s="2671"/>
      <c r="AQ23" s="2671"/>
      <c r="AR23" s="2671"/>
      <c r="AS23" s="2671"/>
      <c r="AT23" s="2674"/>
      <c r="AU23" s="2674"/>
      <c r="AV23" s="2674"/>
      <c r="AW23" s="2674"/>
      <c r="AX23" s="2674"/>
      <c r="AY23" s="2674"/>
      <c r="AZ23" s="2674"/>
      <c r="BA23" s="2674"/>
      <c r="BB23" s="2674"/>
      <c r="BC23" s="2674"/>
      <c r="BD23" s="2674"/>
      <c r="BE23" s="2671"/>
      <c r="BF23" s="2674"/>
      <c r="BG23" s="2674"/>
      <c r="BH23" s="2674"/>
      <c r="BI23" s="2674"/>
      <c r="BJ23" s="2543"/>
      <c r="BK23" s="2543"/>
      <c r="BL23" s="2543"/>
      <c r="BM23" s="2543"/>
      <c r="BN23" s="2692"/>
      <c r="BO23" s="2543"/>
      <c r="BP23" s="2543"/>
      <c r="BQ23" s="2543"/>
      <c r="BR23" s="2543"/>
      <c r="BS23" s="2543"/>
      <c r="BT23" s="2543"/>
      <c r="BU23" s="2543"/>
      <c r="BV23" s="2543"/>
      <c r="BW23" s="2256"/>
      <c r="BX23" s="1781"/>
      <c r="BY23" s="1774"/>
      <c r="BZ23" s="1769"/>
      <c r="CA23" s="2692"/>
      <c r="CB23" s="677" t="s">
        <v>1755</v>
      </c>
      <c r="CC23" s="1402"/>
      <c r="CD23" s="880"/>
      <c r="CE23" s="880"/>
      <c r="CF23" s="880"/>
      <c r="CG23" s="880"/>
      <c r="CH23" s="880"/>
      <c r="CI23" s="880"/>
      <c r="CJ23" s="880"/>
      <c r="CK23" s="880"/>
      <c r="CL23" s="880"/>
      <c r="CM23" s="880"/>
      <c r="CN23" s="880"/>
      <c r="CO23" s="1082"/>
      <c r="CP23" s="1770"/>
      <c r="CQ23" s="1770"/>
      <c r="CR23" s="1771"/>
      <c r="CS23" s="2692"/>
      <c r="CT23" s="1772"/>
      <c r="CU23" s="1775"/>
      <c r="CV23" s="1071"/>
      <c r="CW23" s="1071"/>
      <c r="CX23" s="880"/>
      <c r="CY23" s="880"/>
      <c r="CZ23" s="880"/>
      <c r="DA23" s="880"/>
      <c r="DB23" s="880"/>
      <c r="DC23" s="880"/>
      <c r="DD23" s="880"/>
      <c r="DE23" s="880"/>
      <c r="DF23" s="880"/>
      <c r="DG23" s="24"/>
      <c r="DH23" s="24"/>
      <c r="DI23" s="26"/>
      <c r="DJ23" s="678"/>
      <c r="DK23" s="2657"/>
      <c r="DL23" s="2270"/>
      <c r="DM23" s="2270"/>
      <c r="DN23" s="2660"/>
    </row>
    <row r="24" spans="1:118" ht="13.5" customHeight="1">
      <c r="A24" s="2692"/>
      <c r="B24" s="1047"/>
      <c r="C24" s="1402"/>
      <c r="D24" s="1402"/>
      <c r="E24" s="1043"/>
      <c r="F24" s="1402"/>
      <c r="G24" s="1043"/>
      <c r="H24" s="1773"/>
      <c r="I24" s="1402"/>
      <c r="J24" s="1043"/>
      <c r="K24" s="1402"/>
      <c r="L24" s="1043"/>
      <c r="M24" s="880"/>
      <c r="N24" s="1776"/>
      <c r="O24" s="766"/>
      <c r="P24" s="2499"/>
      <c r="Q24" s="1782"/>
      <c r="R24" s="1770"/>
      <c r="S24" s="1783"/>
      <c r="T24" s="1047"/>
      <c r="U24" s="1047"/>
      <c r="V24" s="1047"/>
      <c r="W24" s="1047"/>
      <c r="X24" s="2367"/>
      <c r="Y24" s="1047"/>
      <c r="Z24" s="1047"/>
      <c r="AA24" s="1438"/>
      <c r="AC24" s="1594"/>
      <c r="AD24" s="2692"/>
      <c r="AE24" s="1047"/>
      <c r="AF24" s="1047"/>
      <c r="AG24" s="1047"/>
      <c r="AH24" s="1044"/>
      <c r="AJ24" s="766"/>
      <c r="AK24" s="766"/>
      <c r="AL24" s="766"/>
      <c r="AN24" s="1594"/>
      <c r="AO24" s="2692"/>
      <c r="AP24" s="2672"/>
      <c r="AQ24" s="2672"/>
      <c r="AR24" s="2672"/>
      <c r="AS24" s="2672"/>
      <c r="AT24" s="2675"/>
      <c r="AU24" s="2675"/>
      <c r="AV24" s="2675"/>
      <c r="AW24" s="2675"/>
      <c r="AX24" s="2675"/>
      <c r="AY24" s="2675"/>
      <c r="AZ24" s="2675"/>
      <c r="BA24" s="2675"/>
      <c r="BB24" s="2675"/>
      <c r="BC24" s="2675"/>
      <c r="BD24" s="2675"/>
      <c r="BE24" s="2672"/>
      <c r="BF24" s="2675"/>
      <c r="BG24" s="2675"/>
      <c r="BH24" s="2675"/>
      <c r="BI24" s="2675"/>
      <c r="BJ24" s="1080"/>
      <c r="BK24" s="1080"/>
      <c r="BL24" s="1080"/>
      <c r="BM24" s="1080"/>
      <c r="BN24" s="2692"/>
      <c r="BO24" s="1080"/>
      <c r="BP24" s="1080"/>
      <c r="BQ24" s="1080"/>
      <c r="BR24" s="1080"/>
      <c r="BS24" s="1080"/>
      <c r="BT24" s="1080"/>
      <c r="BU24" s="1080"/>
      <c r="BV24" s="1080"/>
      <c r="BW24" s="2669"/>
      <c r="BY24" s="1774"/>
      <c r="BZ24" s="1769"/>
      <c r="CA24" s="2692"/>
      <c r="CB24" s="1784"/>
      <c r="CC24" s="1402"/>
      <c r="CD24" s="880"/>
      <c r="CE24" s="880"/>
      <c r="CF24" s="880"/>
      <c r="CG24" s="880"/>
      <c r="CH24" s="880"/>
      <c r="CI24" s="880"/>
      <c r="CJ24" s="880"/>
      <c r="CK24" s="880"/>
      <c r="CL24" s="880"/>
      <c r="CM24" s="880"/>
      <c r="CN24" s="880"/>
      <c r="CO24" s="1082"/>
      <c r="CP24" s="1770"/>
      <c r="CQ24" s="1770"/>
      <c r="CR24" s="1771"/>
      <c r="CS24" s="2692"/>
      <c r="CT24" s="2662" t="s">
        <v>1756</v>
      </c>
      <c r="CU24" s="2663"/>
      <c r="CV24" s="2663"/>
      <c r="CW24" s="2663"/>
      <c r="CX24" s="2663"/>
      <c r="CY24" s="2663"/>
      <c r="CZ24" s="2663"/>
      <c r="DA24" s="2664"/>
      <c r="DB24" s="2665" t="s">
        <v>1757</v>
      </c>
      <c r="DC24" s="2665"/>
      <c r="DD24" s="2665"/>
      <c r="DE24" s="2665"/>
      <c r="DF24" s="2665"/>
      <c r="DG24" s="2665"/>
      <c r="DH24" s="2665"/>
      <c r="DI24" s="2666"/>
      <c r="DJ24" s="678"/>
      <c r="DK24" s="2658"/>
      <c r="DL24" s="2659"/>
      <c r="DM24" s="2659"/>
      <c r="DN24" s="2661"/>
    </row>
    <row r="25" spans="1:118" ht="18" customHeight="1" thickBot="1">
      <c r="A25" s="2692"/>
      <c r="B25" s="1785"/>
      <c r="C25" s="1786"/>
      <c r="D25" s="1787" t="s">
        <v>1758</v>
      </c>
      <c r="E25" s="1787" t="s">
        <v>1759</v>
      </c>
      <c r="F25" s="1788"/>
      <c r="G25" s="1756"/>
      <c r="H25" s="2694" t="s">
        <v>1760</v>
      </c>
      <c r="I25" s="1787" t="s">
        <v>1761</v>
      </c>
      <c r="J25" s="1787" t="s">
        <v>1762</v>
      </c>
      <c r="K25" s="1787" t="s">
        <v>1763</v>
      </c>
      <c r="L25" s="1787" t="s">
        <v>1764</v>
      </c>
      <c r="M25" s="2686" t="s">
        <v>422</v>
      </c>
      <c r="N25" s="2686" t="s">
        <v>426</v>
      </c>
      <c r="O25" s="2686" t="s">
        <v>420</v>
      </c>
      <c r="P25" s="2499"/>
      <c r="Q25" s="2697" t="s">
        <v>420</v>
      </c>
      <c r="R25" s="2698"/>
      <c r="S25" s="2667" t="s">
        <v>420</v>
      </c>
      <c r="T25" s="2667" t="s">
        <v>428</v>
      </c>
      <c r="U25" s="2667" t="s">
        <v>427</v>
      </c>
      <c r="V25" s="2667" t="s">
        <v>427</v>
      </c>
      <c r="W25" s="2667" t="s">
        <v>427</v>
      </c>
      <c r="X25" s="2667" t="s">
        <v>427</v>
      </c>
      <c r="Y25" s="2667" t="s">
        <v>427</v>
      </c>
      <c r="Z25" s="2667" t="s">
        <v>427</v>
      </c>
      <c r="AA25" s="2667" t="s">
        <v>427</v>
      </c>
      <c r="AB25" s="2667" t="s">
        <v>427</v>
      </c>
      <c r="AC25" s="2667" t="s">
        <v>420</v>
      </c>
      <c r="AD25" s="2692"/>
      <c r="AE25" s="2667" t="s">
        <v>427</v>
      </c>
      <c r="AF25" s="2667" t="s">
        <v>428</v>
      </c>
      <c r="AG25" s="2667" t="s">
        <v>427</v>
      </c>
      <c r="AH25" s="2667" t="s">
        <v>428</v>
      </c>
      <c r="AI25" s="2667" t="s">
        <v>427</v>
      </c>
      <c r="AJ25" s="2667" t="s">
        <v>428</v>
      </c>
      <c r="AK25" s="2667" t="s">
        <v>427</v>
      </c>
      <c r="AL25" s="2667" t="s">
        <v>428</v>
      </c>
      <c r="AM25" s="2667" t="s">
        <v>427</v>
      </c>
      <c r="AN25" s="2667" t="s">
        <v>427</v>
      </c>
      <c r="AO25" s="2692"/>
      <c r="AP25" s="2667" t="s">
        <v>420</v>
      </c>
      <c r="AQ25" s="2667" t="s">
        <v>420</v>
      </c>
      <c r="AR25" s="2667" t="s">
        <v>420</v>
      </c>
      <c r="AS25" s="2667" t="s">
        <v>420</v>
      </c>
      <c r="AT25" s="2667" t="s">
        <v>427</v>
      </c>
      <c r="AU25" s="2667" t="s">
        <v>427</v>
      </c>
      <c r="AV25" s="2667" t="s">
        <v>427</v>
      </c>
      <c r="AW25" s="2667" t="s">
        <v>427</v>
      </c>
      <c r="AX25" s="2667" t="s">
        <v>427</v>
      </c>
      <c r="AY25" s="2667" t="s">
        <v>427</v>
      </c>
      <c r="AZ25" s="2667" t="s">
        <v>427</v>
      </c>
      <c r="BA25" s="2667" t="s">
        <v>420</v>
      </c>
      <c r="BB25" s="2667" t="s">
        <v>427</v>
      </c>
      <c r="BC25" s="2667" t="s">
        <v>427</v>
      </c>
      <c r="BD25" s="2667" t="s">
        <v>427</v>
      </c>
      <c r="BE25" s="2667" t="s">
        <v>427</v>
      </c>
      <c r="BF25" s="2667" t="s">
        <v>427</v>
      </c>
      <c r="BG25" s="2667" t="s">
        <v>420</v>
      </c>
      <c r="BH25" s="2667" t="s">
        <v>427</v>
      </c>
      <c r="BI25" s="2667" t="s">
        <v>427</v>
      </c>
      <c r="BJ25" s="2686" t="s">
        <v>607</v>
      </c>
      <c r="BK25" s="2686" t="s">
        <v>607</v>
      </c>
      <c r="BL25" s="2686" t="s">
        <v>607</v>
      </c>
      <c r="BM25" s="2686" t="s">
        <v>607</v>
      </c>
      <c r="BN25" s="2692"/>
      <c r="BO25" s="2686" t="s">
        <v>607</v>
      </c>
      <c r="BP25" s="2686" t="s">
        <v>607</v>
      </c>
      <c r="BQ25" s="2686" t="s">
        <v>607</v>
      </c>
      <c r="BR25" s="2686" t="s">
        <v>607</v>
      </c>
      <c r="BS25" s="2686" t="s">
        <v>607</v>
      </c>
      <c r="BT25" s="2686" t="s">
        <v>607</v>
      </c>
      <c r="BU25" s="2686" t="s">
        <v>607</v>
      </c>
      <c r="BV25" s="2686" t="s">
        <v>607</v>
      </c>
      <c r="BW25" s="2667" t="s">
        <v>420</v>
      </c>
      <c r="BX25" s="2667" t="s">
        <v>420</v>
      </c>
      <c r="BY25" s="2667" t="s">
        <v>420</v>
      </c>
      <c r="BZ25" s="2686" t="s">
        <v>1765</v>
      </c>
      <c r="CA25" s="2692"/>
      <c r="CB25" s="2686" t="s">
        <v>420</v>
      </c>
      <c r="CC25" s="2683" t="s">
        <v>1766</v>
      </c>
      <c r="CD25" s="2684"/>
      <c r="CE25" s="2684"/>
      <c r="CF25" s="2685"/>
      <c r="CG25" s="2683" t="s">
        <v>1767</v>
      </c>
      <c r="CH25" s="2684"/>
      <c r="CI25" s="2684"/>
      <c r="CJ25" s="2685"/>
      <c r="CK25" s="2684" t="s">
        <v>1768</v>
      </c>
      <c r="CL25" s="2684"/>
      <c r="CM25" s="2684"/>
      <c r="CN25" s="2685"/>
      <c r="CO25" s="2683" t="s">
        <v>1769</v>
      </c>
      <c r="CP25" s="2684"/>
      <c r="CQ25" s="2684"/>
      <c r="CR25" s="2685"/>
      <c r="CS25" s="2692"/>
      <c r="CT25" s="2662" t="s">
        <v>1770</v>
      </c>
      <c r="CU25" s="2663"/>
      <c r="CV25" s="2663"/>
      <c r="CW25" s="2663"/>
      <c r="CX25" s="2662" t="s">
        <v>1771</v>
      </c>
      <c r="CY25" s="2663"/>
      <c r="CZ25" s="2663"/>
      <c r="DA25" s="2664"/>
      <c r="DB25" s="2663" t="s">
        <v>1772</v>
      </c>
      <c r="DC25" s="2663"/>
      <c r="DD25" s="2663"/>
      <c r="DE25" s="2664"/>
      <c r="DF25" s="2688" t="s">
        <v>1773</v>
      </c>
      <c r="DG25" s="2665"/>
      <c r="DH25" s="2665"/>
      <c r="DI25" s="2666"/>
      <c r="DJ25" s="1144" t="s">
        <v>420</v>
      </c>
      <c r="DK25" s="1144" t="s">
        <v>420</v>
      </c>
      <c r="DL25" s="1144" t="s">
        <v>420</v>
      </c>
      <c r="DM25" s="1144" t="s">
        <v>420</v>
      </c>
      <c r="DN25" s="1144" t="s">
        <v>420</v>
      </c>
    </row>
    <row r="26" spans="1:118" ht="14.25" customHeight="1" thickTop="1" thickBot="1">
      <c r="A26" s="2693"/>
      <c r="B26" s="1789" t="s">
        <v>187</v>
      </c>
      <c r="C26" s="1790" t="s">
        <v>1774</v>
      </c>
      <c r="D26" s="1789" t="s">
        <v>187</v>
      </c>
      <c r="E26" s="1789" t="s">
        <v>187</v>
      </c>
      <c r="F26" s="2689" t="s">
        <v>1775</v>
      </c>
      <c r="G26" s="2690"/>
      <c r="H26" s="2695"/>
      <c r="I26" s="1789" t="s">
        <v>187</v>
      </c>
      <c r="J26" s="1789" t="s">
        <v>187</v>
      </c>
      <c r="K26" s="1789" t="s">
        <v>187</v>
      </c>
      <c r="L26" s="1789" t="s">
        <v>187</v>
      </c>
      <c r="M26" s="2696"/>
      <c r="N26" s="2696"/>
      <c r="O26" s="2687"/>
      <c r="P26" s="2708"/>
      <c r="Q26" s="2699"/>
      <c r="R26" s="2700"/>
      <c r="S26" s="2668"/>
      <c r="T26" s="2668"/>
      <c r="U26" s="2668"/>
      <c r="V26" s="2668"/>
      <c r="W26" s="2668"/>
      <c r="X26" s="2668"/>
      <c r="Y26" s="2668"/>
      <c r="Z26" s="2668"/>
      <c r="AA26" s="2668"/>
      <c r="AB26" s="2668"/>
      <c r="AC26" s="2668"/>
      <c r="AD26" s="2693"/>
      <c r="AE26" s="2668"/>
      <c r="AF26" s="2668"/>
      <c r="AG26" s="2668"/>
      <c r="AH26" s="2668"/>
      <c r="AI26" s="2668"/>
      <c r="AJ26" s="2668"/>
      <c r="AK26" s="2668"/>
      <c r="AL26" s="2668"/>
      <c r="AM26" s="2668"/>
      <c r="AN26" s="2668"/>
      <c r="AO26" s="2693"/>
      <c r="AP26" s="2668"/>
      <c r="AQ26" s="2668"/>
      <c r="AR26" s="2668"/>
      <c r="AS26" s="2668"/>
      <c r="AT26" s="2668"/>
      <c r="AU26" s="2668"/>
      <c r="AV26" s="2668"/>
      <c r="AW26" s="2668"/>
      <c r="AX26" s="2668"/>
      <c r="AY26" s="2668"/>
      <c r="AZ26" s="2668"/>
      <c r="BA26" s="2668"/>
      <c r="BB26" s="2668"/>
      <c r="BC26" s="2668"/>
      <c r="BD26" s="2668"/>
      <c r="BE26" s="2668"/>
      <c r="BF26" s="2668"/>
      <c r="BG26" s="2668"/>
      <c r="BH26" s="2668"/>
      <c r="BI26" s="2668"/>
      <c r="BJ26" s="2687"/>
      <c r="BK26" s="2687"/>
      <c r="BL26" s="2687"/>
      <c r="BM26" s="2687"/>
      <c r="BN26" s="2693"/>
      <c r="BO26" s="2687"/>
      <c r="BP26" s="2687"/>
      <c r="BQ26" s="2687"/>
      <c r="BR26" s="2687"/>
      <c r="BS26" s="2687"/>
      <c r="BT26" s="2687"/>
      <c r="BU26" s="2687"/>
      <c r="BV26" s="2687"/>
      <c r="BW26" s="2668"/>
      <c r="BX26" s="2668"/>
      <c r="BY26" s="2668"/>
      <c r="BZ26" s="2691"/>
      <c r="CA26" s="2693"/>
      <c r="CB26" s="2687"/>
      <c r="CC26" s="1791" t="s">
        <v>425</v>
      </c>
      <c r="CD26" s="1789" t="s">
        <v>1776</v>
      </c>
      <c r="CE26" s="1789" t="s">
        <v>1777</v>
      </c>
      <c r="CF26" s="1792" t="s">
        <v>512</v>
      </c>
      <c r="CG26" s="1791" t="s">
        <v>425</v>
      </c>
      <c r="CH26" s="1789" t="s">
        <v>1776</v>
      </c>
      <c r="CI26" s="1789" t="s">
        <v>1777</v>
      </c>
      <c r="CJ26" s="1792" t="s">
        <v>512</v>
      </c>
      <c r="CK26" s="1793" t="s">
        <v>425</v>
      </c>
      <c r="CL26" s="1789" t="s">
        <v>1776</v>
      </c>
      <c r="CM26" s="1789" t="s">
        <v>1777</v>
      </c>
      <c r="CN26" s="1792" t="s">
        <v>512</v>
      </c>
      <c r="CO26" s="1790" t="s">
        <v>425</v>
      </c>
      <c r="CP26" s="1790" t="s">
        <v>1776</v>
      </c>
      <c r="CQ26" s="1790" t="s">
        <v>1777</v>
      </c>
      <c r="CR26" s="1792" t="s">
        <v>512</v>
      </c>
      <c r="CS26" s="2693"/>
      <c r="CT26" s="1794" t="s">
        <v>263</v>
      </c>
      <c r="CU26" s="1144" t="s">
        <v>126</v>
      </c>
      <c r="CV26" s="1795" t="s">
        <v>148</v>
      </c>
      <c r="CW26" s="1796" t="s">
        <v>264</v>
      </c>
      <c r="CX26" s="1797" t="s">
        <v>263</v>
      </c>
      <c r="CY26" s="1797" t="s">
        <v>126</v>
      </c>
      <c r="CZ26" s="1798" t="s">
        <v>148</v>
      </c>
      <c r="DA26" s="1144" t="s">
        <v>264</v>
      </c>
      <c r="DB26" s="1794" t="s">
        <v>263</v>
      </c>
      <c r="DC26" s="1144" t="s">
        <v>126</v>
      </c>
      <c r="DD26" s="1795" t="s">
        <v>148</v>
      </c>
      <c r="DE26" s="1796" t="s">
        <v>264</v>
      </c>
      <c r="DF26" s="1794" t="s">
        <v>263</v>
      </c>
      <c r="DG26" s="606" t="s">
        <v>126</v>
      </c>
      <c r="DH26" s="607" t="s">
        <v>148</v>
      </c>
      <c r="DI26" s="606" t="s">
        <v>264</v>
      </c>
      <c r="DJ26" s="1145"/>
      <c r="DK26" s="1145"/>
      <c r="DL26" s="1145"/>
      <c r="DM26" s="1145"/>
      <c r="DN26" s="1145"/>
    </row>
    <row r="27" spans="1:118" ht="18" customHeight="1" thickTop="1" thickBot="1">
      <c r="A27" s="1436">
        <v>1</v>
      </c>
      <c r="B27" s="1047"/>
      <c r="C27" s="1402"/>
      <c r="D27" s="1047"/>
      <c r="E27" s="1043"/>
      <c r="F27" s="2679"/>
      <c r="G27" s="2680"/>
      <c r="H27" s="880"/>
      <c r="I27" s="1047"/>
      <c r="J27" s="1043"/>
      <c r="K27" s="1047"/>
      <c r="L27" s="1043"/>
      <c r="M27" s="1047"/>
      <c r="N27" s="1047"/>
      <c r="O27" s="1750"/>
      <c r="P27" s="1436">
        <v>1</v>
      </c>
      <c r="Q27" s="1799"/>
      <c r="R27" s="1800"/>
      <c r="S27" s="1800"/>
      <c r="T27" s="1750"/>
      <c r="U27" s="1750"/>
      <c r="V27" s="1750"/>
      <c r="W27" s="1801"/>
      <c r="X27" s="1750"/>
      <c r="Y27" s="1802"/>
      <c r="Z27" s="1750"/>
      <c r="AA27" s="1801"/>
      <c r="AB27" s="1750"/>
      <c r="AC27" s="1750"/>
      <c r="AD27" s="1436">
        <v>1</v>
      </c>
      <c r="AE27" s="1750"/>
      <c r="AF27" s="1802"/>
      <c r="AG27" s="1750"/>
      <c r="AH27" s="1801"/>
      <c r="AI27" s="1750"/>
      <c r="AJ27" s="1750"/>
      <c r="AK27" s="1750"/>
      <c r="AL27" s="1750"/>
      <c r="AM27" s="1750"/>
      <c r="AN27" s="1750"/>
      <c r="AO27" s="1436">
        <v>1</v>
      </c>
      <c r="AP27" s="1750"/>
      <c r="AQ27" s="1750"/>
      <c r="AR27" s="1750"/>
      <c r="AS27" s="770"/>
      <c r="AT27" s="1750"/>
      <c r="AU27" s="1750"/>
      <c r="AV27" s="1803"/>
      <c r="AW27" s="1803"/>
      <c r="AX27" s="1803"/>
      <c r="AY27" s="1803"/>
      <c r="AZ27" s="1803"/>
      <c r="BA27" s="1803"/>
      <c r="BB27" s="1803"/>
      <c r="BC27" s="1803"/>
      <c r="BD27" s="1803"/>
      <c r="BE27" s="1803"/>
      <c r="BF27" s="1803"/>
      <c r="BG27" s="1803"/>
      <c r="BH27" s="1803"/>
      <c r="BI27" s="1803"/>
      <c r="BJ27" s="1047"/>
      <c r="BK27" s="1406"/>
      <c r="BL27" s="1043"/>
      <c r="BM27" s="1406"/>
      <c r="BN27" s="1436">
        <v>1</v>
      </c>
      <c r="BO27" s="1047"/>
      <c r="BP27" s="1047"/>
      <c r="BQ27" s="1047"/>
      <c r="BR27" s="1047"/>
      <c r="BS27" s="1047"/>
      <c r="BT27" s="880"/>
      <c r="BU27" s="1047"/>
      <c r="BV27" s="1047"/>
      <c r="BW27" s="1804"/>
      <c r="BX27" s="1804"/>
      <c r="BY27" s="1805"/>
      <c r="BZ27" s="1145"/>
      <c r="CA27" s="1436">
        <v>1</v>
      </c>
      <c r="CB27" s="1806"/>
      <c r="CC27" s="766"/>
      <c r="CD27" s="766"/>
      <c r="CE27" s="766"/>
      <c r="CF27" s="1479"/>
      <c r="CG27" s="1053"/>
      <c r="CH27" s="766"/>
      <c r="CI27" s="766"/>
      <c r="CJ27" s="1479"/>
      <c r="CL27" s="766"/>
      <c r="CM27" s="766"/>
      <c r="CN27" s="1479"/>
      <c r="CO27" s="766"/>
      <c r="CP27" s="766"/>
      <c r="CQ27" s="766"/>
      <c r="CR27" s="1479"/>
      <c r="CS27" s="1436">
        <v>1</v>
      </c>
      <c r="CT27" s="1053"/>
      <c r="CU27" s="766"/>
      <c r="CW27" s="1805"/>
      <c r="CX27" s="766"/>
      <c r="CY27" s="766"/>
      <c r="CZ27" s="1479"/>
      <c r="DA27" s="1145"/>
      <c r="DB27" s="1146"/>
      <c r="DC27" s="1146"/>
      <c r="DD27" s="1146"/>
      <c r="DE27" s="1146"/>
      <c r="DF27" s="770"/>
      <c r="DG27" s="275"/>
      <c r="DI27" s="608"/>
      <c r="DJ27" s="1146"/>
      <c r="DK27" s="1146"/>
      <c r="DL27" s="1146"/>
      <c r="DM27" s="1144"/>
      <c r="DN27" s="1146"/>
    </row>
    <row r="28" spans="1:118" ht="18" customHeight="1" thickTop="1">
      <c r="A28" s="1807">
        <v>2</v>
      </c>
      <c r="B28" s="1405"/>
      <c r="C28" s="1804"/>
      <c r="D28" s="1405"/>
      <c r="E28" s="1808"/>
      <c r="F28" s="2662"/>
      <c r="G28" s="2664"/>
      <c r="H28" s="1809"/>
      <c r="I28" s="1405"/>
      <c r="J28" s="1808"/>
      <c r="K28" s="1405"/>
      <c r="L28" s="1808"/>
      <c r="M28" s="1405"/>
      <c r="N28" s="1405"/>
      <c r="O28" s="1810"/>
      <c r="P28" s="1807">
        <v>2</v>
      </c>
      <c r="Q28" s="2681"/>
      <c r="R28" s="2682"/>
      <c r="S28" s="1811"/>
      <c r="T28" s="1803"/>
      <c r="U28" s="1803"/>
      <c r="V28" s="1803"/>
      <c r="W28" s="678"/>
      <c r="X28" s="1803"/>
      <c r="Y28" s="1812"/>
      <c r="Z28" s="1803"/>
      <c r="AA28" s="678"/>
      <c r="AB28" s="1803"/>
      <c r="AC28" s="1803"/>
      <c r="AD28" s="1807">
        <v>2</v>
      </c>
      <c r="AE28" s="1803"/>
      <c r="AF28" s="1812"/>
      <c r="AG28" s="1803"/>
      <c r="AH28" s="678"/>
      <c r="AI28" s="1803"/>
      <c r="AJ28" s="1803"/>
      <c r="AK28" s="1803"/>
      <c r="AL28" s="1803"/>
      <c r="AM28" s="1803"/>
      <c r="AN28" s="1803"/>
      <c r="AO28" s="1807">
        <v>2</v>
      </c>
      <c r="AP28" s="1803"/>
      <c r="AQ28" s="1803"/>
      <c r="AR28" s="1803"/>
      <c r="AS28" s="1803"/>
      <c r="AT28" s="1803"/>
      <c r="AU28" s="1803"/>
      <c r="AV28" s="1810"/>
      <c r="AW28" s="1810"/>
      <c r="AX28" s="1810"/>
      <c r="AY28" s="1810"/>
      <c r="AZ28" s="1810"/>
      <c r="BA28" s="1810"/>
      <c r="BB28" s="1810"/>
      <c r="BC28" s="1810"/>
      <c r="BD28" s="1810"/>
      <c r="BE28" s="1810"/>
      <c r="BF28" s="1810"/>
      <c r="BG28" s="1810"/>
      <c r="BH28" s="1810"/>
      <c r="BI28" s="1810"/>
      <c r="BJ28" s="1405"/>
      <c r="BK28" s="1405"/>
      <c r="BL28" s="1808"/>
      <c r="BM28" s="1405"/>
      <c r="BN28" s="1807">
        <v>2</v>
      </c>
      <c r="BO28" s="1405"/>
      <c r="BP28" s="1405"/>
      <c r="BQ28" s="1405"/>
      <c r="BR28" s="1405"/>
      <c r="BS28" s="1405"/>
      <c r="BT28" s="1809"/>
      <c r="BU28" s="1405"/>
      <c r="BV28" s="1405"/>
      <c r="BW28" s="1402"/>
      <c r="BX28" s="1402"/>
      <c r="BY28" s="1813"/>
      <c r="BZ28" s="1146"/>
      <c r="CA28" s="1807">
        <v>2</v>
      </c>
      <c r="CB28" s="1814"/>
      <c r="CC28" s="770"/>
      <c r="CD28" s="770"/>
      <c r="CE28" s="770"/>
      <c r="CF28" s="1060"/>
      <c r="CG28" s="1814"/>
      <c r="CH28" s="770"/>
      <c r="CI28" s="770"/>
      <c r="CJ28" s="1060"/>
      <c r="CK28" s="1815"/>
      <c r="CL28" s="770"/>
      <c r="CM28" s="770"/>
      <c r="CN28" s="1060"/>
      <c r="CO28" s="770"/>
      <c r="CP28" s="770"/>
      <c r="CQ28" s="770"/>
      <c r="CR28" s="1060"/>
      <c r="CS28" s="1807">
        <v>2</v>
      </c>
      <c r="CT28" s="1814"/>
      <c r="CU28" s="770"/>
      <c r="CV28" s="1815"/>
      <c r="CW28" s="1813"/>
      <c r="CX28" s="770"/>
      <c r="CY28" s="770"/>
      <c r="CZ28" s="1060"/>
      <c r="DA28" s="1146"/>
      <c r="DB28" s="1146"/>
      <c r="DC28" s="1146"/>
      <c r="DD28" s="1146"/>
      <c r="DE28" s="1146"/>
      <c r="DF28" s="770"/>
      <c r="DG28" s="408"/>
      <c r="DH28" s="406"/>
      <c r="DI28" s="609"/>
      <c r="DJ28" s="1147"/>
      <c r="DK28" s="1147"/>
      <c r="DL28" s="1147"/>
      <c r="DM28" s="1147"/>
      <c r="DN28" s="1147"/>
    </row>
    <row r="29" spans="1:118" ht="18" customHeight="1">
      <c r="A29" s="1436">
        <v>3</v>
      </c>
      <c r="B29" s="1047"/>
      <c r="C29" s="1402"/>
      <c r="D29" s="1047"/>
      <c r="E29" s="1043"/>
      <c r="F29" s="2679"/>
      <c r="G29" s="2680"/>
      <c r="H29" s="880"/>
      <c r="I29" s="1047"/>
      <c r="J29" s="1043"/>
      <c r="K29" s="1047"/>
      <c r="L29" s="1043"/>
      <c r="M29" s="1047"/>
      <c r="N29" s="1047"/>
      <c r="O29" s="1810"/>
      <c r="P29" s="1436">
        <v>3</v>
      </c>
      <c r="Q29" s="2681"/>
      <c r="R29" s="2682"/>
      <c r="S29" s="1816"/>
      <c r="T29" s="1810"/>
      <c r="U29" s="1810"/>
      <c r="V29" s="1810"/>
      <c r="W29" s="1817"/>
      <c r="X29" s="1810"/>
      <c r="Y29" s="1818"/>
      <c r="Z29" s="1810"/>
      <c r="AA29" s="1817"/>
      <c r="AB29" s="1810"/>
      <c r="AC29" s="1810"/>
      <c r="AD29" s="1436">
        <v>3</v>
      </c>
      <c r="AE29" s="1810"/>
      <c r="AF29" s="1818"/>
      <c r="AG29" s="1810"/>
      <c r="AH29" s="1817"/>
      <c r="AI29" s="1810"/>
      <c r="AJ29" s="1810"/>
      <c r="AK29" s="1810"/>
      <c r="AL29" s="1810"/>
      <c r="AM29" s="1810"/>
      <c r="AN29" s="1810"/>
      <c r="AO29" s="1436">
        <v>3</v>
      </c>
      <c r="AP29" s="1810"/>
      <c r="AQ29" s="1810"/>
      <c r="AR29" s="1810"/>
      <c r="AS29" s="1810"/>
      <c r="AT29" s="1810"/>
      <c r="AU29" s="1810"/>
      <c r="AV29" s="1810"/>
      <c r="AW29" s="1810"/>
      <c r="AX29" s="1810"/>
      <c r="AY29" s="1810"/>
      <c r="AZ29" s="1810"/>
      <c r="BA29" s="1810"/>
      <c r="BB29" s="1810"/>
      <c r="BC29" s="1810"/>
      <c r="BD29" s="1810"/>
      <c r="BE29" s="1810"/>
      <c r="BF29" s="1810"/>
      <c r="BG29" s="1810"/>
      <c r="BH29" s="1810"/>
      <c r="BI29" s="1810"/>
      <c r="BJ29" s="1047"/>
      <c r="BK29" s="1405"/>
      <c r="BL29" s="1043"/>
      <c r="BM29" s="1405"/>
      <c r="BN29" s="1436">
        <v>3</v>
      </c>
      <c r="BO29" s="1047"/>
      <c r="BP29" s="1047"/>
      <c r="BQ29" s="1047"/>
      <c r="BR29" s="1047"/>
      <c r="BS29" s="1047"/>
      <c r="BT29" s="880"/>
      <c r="BU29" s="1047"/>
      <c r="BV29" s="1047"/>
      <c r="BW29" s="1804"/>
      <c r="BX29" s="1804"/>
      <c r="BY29" s="1819"/>
      <c r="BZ29" s="1147"/>
      <c r="CA29" s="1436">
        <v>3</v>
      </c>
      <c r="CB29" s="1820"/>
      <c r="CC29" s="1147"/>
      <c r="CD29" s="1147"/>
      <c r="CE29" s="1147"/>
      <c r="CF29" s="1147"/>
      <c r="CG29" s="1147"/>
      <c r="CH29" s="1147"/>
      <c r="CI29" s="1147"/>
      <c r="CJ29" s="1147"/>
      <c r="CK29" s="1147"/>
      <c r="CL29" s="1147"/>
      <c r="CM29" s="1147"/>
      <c r="CN29" s="1147"/>
      <c r="CO29" s="1147"/>
      <c r="CP29" s="1147"/>
      <c r="CQ29" s="1147"/>
      <c r="CR29" s="1147"/>
      <c r="CS29" s="1436">
        <v>3</v>
      </c>
      <c r="CT29" s="1147"/>
      <c r="CU29" s="1147"/>
      <c r="CV29" s="1147"/>
      <c r="CW29" s="1147"/>
      <c r="CX29" s="1147"/>
      <c r="CY29" s="1147"/>
      <c r="CZ29" s="1147"/>
      <c r="DA29" s="1147"/>
      <c r="DB29" s="770"/>
      <c r="DC29" s="770"/>
      <c r="DD29" s="770"/>
      <c r="DE29" s="770"/>
      <c r="DF29" s="770"/>
      <c r="DG29" s="611"/>
      <c r="DH29" s="611"/>
      <c r="DI29" s="611"/>
      <c r="DJ29" s="770"/>
      <c r="DK29" s="770"/>
      <c r="DL29" s="770"/>
      <c r="DM29" s="770"/>
      <c r="DN29" s="770"/>
    </row>
    <row r="30" spans="1:118" ht="18" customHeight="1">
      <c r="A30" s="1807">
        <v>4</v>
      </c>
      <c r="B30" s="1405"/>
      <c r="C30" s="1804"/>
      <c r="D30" s="1405"/>
      <c r="E30" s="1808"/>
      <c r="F30" s="2662"/>
      <c r="G30" s="2664"/>
      <c r="H30" s="1809"/>
      <c r="I30" s="1405"/>
      <c r="J30" s="1808"/>
      <c r="K30" s="1405"/>
      <c r="L30" s="1808"/>
      <c r="M30" s="1405"/>
      <c r="N30" s="1405"/>
      <c r="O30" s="1810"/>
      <c r="P30" s="1807">
        <v>4</v>
      </c>
      <c r="Q30" s="2681"/>
      <c r="R30" s="2682"/>
      <c r="S30" s="1811"/>
      <c r="T30" s="1803"/>
      <c r="U30" s="1803"/>
      <c r="V30" s="1803"/>
      <c r="W30" s="678"/>
      <c r="X30" s="1803"/>
      <c r="Y30" s="1812"/>
      <c r="Z30" s="1803"/>
      <c r="AA30" s="678"/>
      <c r="AB30" s="1803"/>
      <c r="AC30" s="1803"/>
      <c r="AD30" s="1807">
        <v>4</v>
      </c>
      <c r="AE30" s="1803"/>
      <c r="AF30" s="1812"/>
      <c r="AG30" s="1803"/>
      <c r="AH30" s="678"/>
      <c r="AI30" s="1803"/>
      <c r="AJ30" s="1803"/>
      <c r="AK30" s="1803"/>
      <c r="AL30" s="1803"/>
      <c r="AM30" s="1803"/>
      <c r="AN30" s="1803"/>
      <c r="AO30" s="1807">
        <v>4</v>
      </c>
      <c r="AP30" s="1803"/>
      <c r="AQ30" s="1803"/>
      <c r="AR30" s="1803"/>
      <c r="AS30" s="1803"/>
      <c r="AT30" s="1803"/>
      <c r="AU30" s="1803"/>
      <c r="AV30" s="1810"/>
      <c r="AW30" s="1810"/>
      <c r="AX30" s="1810"/>
      <c r="AY30" s="1810"/>
      <c r="AZ30" s="1810"/>
      <c r="BA30" s="1810"/>
      <c r="BB30" s="1810"/>
      <c r="BC30" s="1810"/>
      <c r="BD30" s="1810"/>
      <c r="BE30" s="1810"/>
      <c r="BF30" s="1810"/>
      <c r="BG30" s="1810"/>
      <c r="BH30" s="1810"/>
      <c r="BI30" s="1810"/>
      <c r="BJ30" s="1405"/>
      <c r="BK30" s="1405"/>
      <c r="BL30" s="1808"/>
      <c r="BM30" s="1405"/>
      <c r="BN30" s="1807">
        <v>4</v>
      </c>
      <c r="BO30" s="1405"/>
      <c r="BP30" s="1405"/>
      <c r="BQ30" s="1405"/>
      <c r="BR30" s="1405"/>
      <c r="BS30" s="1405"/>
      <c r="BT30" s="1809"/>
      <c r="BU30" s="1405"/>
      <c r="BV30" s="1405"/>
      <c r="BW30" s="1804"/>
      <c r="BX30" s="1804"/>
      <c r="BY30" s="1814"/>
      <c r="BZ30" s="770"/>
      <c r="CA30" s="1807">
        <v>4</v>
      </c>
      <c r="CB30" s="1815"/>
      <c r="CC30" s="770"/>
      <c r="CD30" s="770"/>
      <c r="CE30" s="770"/>
      <c r="CF30" s="770"/>
      <c r="CG30" s="770"/>
      <c r="CH30" s="770"/>
      <c r="CI30" s="770"/>
      <c r="CJ30" s="770"/>
      <c r="CK30" s="770"/>
      <c r="CL30" s="770"/>
      <c r="CM30" s="770"/>
      <c r="CN30" s="770"/>
      <c r="CO30" s="770"/>
      <c r="CP30" s="770"/>
      <c r="CQ30" s="770"/>
      <c r="CR30" s="770"/>
      <c r="CS30" s="1807">
        <v>4</v>
      </c>
      <c r="CT30" s="770"/>
      <c r="CU30" s="770"/>
      <c r="CV30" s="770"/>
      <c r="CW30" s="770"/>
      <c r="CX30" s="770"/>
      <c r="CY30" s="770"/>
      <c r="CZ30" s="770"/>
      <c r="DA30" s="770"/>
      <c r="DB30" s="770"/>
      <c r="DC30" s="770"/>
      <c r="DD30" s="770"/>
      <c r="DE30" s="770"/>
      <c r="DF30" s="770"/>
      <c r="DG30" s="408"/>
      <c r="DH30" s="408"/>
      <c r="DI30" s="408"/>
      <c r="DJ30" s="770"/>
      <c r="DK30" s="770"/>
      <c r="DL30" s="770"/>
      <c r="DM30" s="770"/>
      <c r="DN30" s="770"/>
    </row>
    <row r="31" spans="1:118" ht="18" customHeight="1">
      <c r="A31" s="1436">
        <v>5</v>
      </c>
      <c r="B31" s="1047"/>
      <c r="C31" s="1402"/>
      <c r="D31" s="1047"/>
      <c r="E31" s="1043"/>
      <c r="F31" s="2679"/>
      <c r="G31" s="2680"/>
      <c r="H31" s="880"/>
      <c r="I31" s="1047"/>
      <c r="J31" s="1043"/>
      <c r="K31" s="1047"/>
      <c r="L31" s="1043"/>
      <c r="M31" s="1047"/>
      <c r="N31" s="1047"/>
      <c r="O31" s="1810"/>
      <c r="P31" s="1436">
        <v>5</v>
      </c>
      <c r="Q31" s="2681"/>
      <c r="R31" s="2682"/>
      <c r="S31" s="1816"/>
      <c r="T31" s="1810"/>
      <c r="U31" s="1810"/>
      <c r="V31" s="1810"/>
      <c r="W31" s="1817"/>
      <c r="X31" s="1810"/>
      <c r="Y31" s="1818"/>
      <c r="Z31" s="1810"/>
      <c r="AA31" s="1817"/>
      <c r="AB31" s="1810"/>
      <c r="AC31" s="1810"/>
      <c r="AD31" s="1436">
        <v>5</v>
      </c>
      <c r="AE31" s="1810"/>
      <c r="AF31" s="1818"/>
      <c r="AG31" s="1810"/>
      <c r="AH31" s="1817"/>
      <c r="AI31" s="1810"/>
      <c r="AJ31" s="1810"/>
      <c r="AK31" s="1810"/>
      <c r="AL31" s="1810"/>
      <c r="AM31" s="1810"/>
      <c r="AN31" s="1810"/>
      <c r="AO31" s="1436">
        <v>5</v>
      </c>
      <c r="AP31" s="1810"/>
      <c r="AQ31" s="1810"/>
      <c r="AR31" s="1810"/>
      <c r="AS31" s="1810"/>
      <c r="AT31" s="1810"/>
      <c r="AU31" s="1810"/>
      <c r="AV31" s="1810"/>
      <c r="AW31" s="1810"/>
      <c r="AX31" s="1810"/>
      <c r="AY31" s="1810"/>
      <c r="AZ31" s="1810"/>
      <c r="BA31" s="1810"/>
      <c r="BB31" s="1810"/>
      <c r="BC31" s="1810"/>
      <c r="BD31" s="1810"/>
      <c r="BE31" s="1810"/>
      <c r="BF31" s="1810"/>
      <c r="BG31" s="1810"/>
      <c r="BH31" s="1810"/>
      <c r="BI31" s="1810"/>
      <c r="BJ31" s="1405"/>
      <c r="BK31" s="1405"/>
      <c r="BL31" s="1808"/>
      <c r="BM31" s="1405"/>
      <c r="BN31" s="1436">
        <v>5</v>
      </c>
      <c r="BO31" s="1405"/>
      <c r="BP31" s="1405"/>
      <c r="BQ31" s="1405"/>
      <c r="BR31" s="1405"/>
      <c r="BS31" s="1405"/>
      <c r="BT31" s="1809"/>
      <c r="BU31" s="1405"/>
      <c r="BV31" s="1405"/>
      <c r="BW31" s="1804"/>
      <c r="BX31" s="1804"/>
      <c r="BY31" s="1814"/>
      <c r="BZ31" s="770"/>
      <c r="CA31" s="1436">
        <v>5</v>
      </c>
      <c r="CB31" s="1815"/>
      <c r="CC31" s="770"/>
      <c r="CD31" s="770"/>
      <c r="CE31" s="770"/>
      <c r="CF31" s="770"/>
      <c r="CG31" s="770"/>
      <c r="CH31" s="770"/>
      <c r="CI31" s="770"/>
      <c r="CJ31" s="770"/>
      <c r="CK31" s="770"/>
      <c r="CL31" s="770"/>
      <c r="CM31" s="770"/>
      <c r="CN31" s="770"/>
      <c r="CO31" s="770"/>
      <c r="CP31" s="770"/>
      <c r="CQ31" s="770"/>
      <c r="CR31" s="770"/>
      <c r="CS31" s="1436">
        <v>5</v>
      </c>
      <c r="CT31" s="770"/>
      <c r="CU31" s="770"/>
      <c r="CV31" s="770"/>
      <c r="CW31" s="770"/>
      <c r="CX31" s="770"/>
      <c r="CY31" s="770"/>
      <c r="CZ31" s="770"/>
      <c r="DA31" s="770"/>
      <c r="DB31" s="770"/>
      <c r="DC31" s="770"/>
      <c r="DD31" s="770"/>
      <c r="DE31" s="770"/>
      <c r="DF31" s="770"/>
      <c r="DG31" s="408"/>
      <c r="DH31" s="408"/>
      <c r="DI31" s="408"/>
      <c r="DJ31" s="770"/>
      <c r="DK31" s="770"/>
      <c r="DL31" s="770"/>
      <c r="DM31" s="770"/>
      <c r="DN31" s="770"/>
    </row>
    <row r="32" spans="1:118" ht="18" customHeight="1">
      <c r="A32" s="1807">
        <v>6</v>
      </c>
      <c r="B32" s="1405"/>
      <c r="C32" s="1804"/>
      <c r="D32" s="1405"/>
      <c r="E32" s="1808"/>
      <c r="F32" s="2662"/>
      <c r="G32" s="2664"/>
      <c r="H32" s="1809"/>
      <c r="I32" s="1405"/>
      <c r="J32" s="1808"/>
      <c r="K32" s="1405"/>
      <c r="L32" s="1808"/>
      <c r="M32" s="1405"/>
      <c r="N32" s="1405"/>
      <c r="O32" s="1810"/>
      <c r="P32" s="1807">
        <v>6</v>
      </c>
      <c r="Q32" s="1821"/>
      <c r="R32" s="1818"/>
      <c r="S32" s="1818"/>
      <c r="T32" s="1810"/>
      <c r="U32" s="1810"/>
      <c r="V32" s="1810"/>
      <c r="W32" s="1810"/>
      <c r="X32" s="1810"/>
      <c r="Y32" s="1810"/>
      <c r="Z32" s="1810"/>
      <c r="AA32" s="1810"/>
      <c r="AB32" s="1810"/>
      <c r="AC32" s="1810"/>
      <c r="AD32" s="1807">
        <v>6</v>
      </c>
      <c r="AE32" s="1810"/>
      <c r="AF32" s="1810"/>
      <c r="AG32" s="1810"/>
      <c r="AH32" s="1810"/>
      <c r="AI32" s="1810"/>
      <c r="AJ32" s="1810"/>
      <c r="AK32" s="1810"/>
      <c r="AL32" s="1810"/>
      <c r="AM32" s="1810"/>
      <c r="AN32" s="1810"/>
      <c r="AO32" s="1807">
        <v>6</v>
      </c>
      <c r="AP32" s="1810"/>
      <c r="AQ32" s="1810"/>
      <c r="AR32" s="1810"/>
      <c r="AS32" s="1810"/>
      <c r="AT32" s="1810"/>
      <c r="AU32" s="1810"/>
      <c r="AV32" s="1810"/>
      <c r="AW32" s="1810"/>
      <c r="AX32" s="1810"/>
      <c r="AY32" s="1810"/>
      <c r="AZ32" s="1810"/>
      <c r="BA32" s="1810"/>
      <c r="BB32" s="1810"/>
      <c r="BC32" s="1810"/>
      <c r="BD32" s="1810"/>
      <c r="BE32" s="1810"/>
      <c r="BF32" s="1810"/>
      <c r="BG32" s="1810"/>
      <c r="BH32" s="1810"/>
      <c r="BI32" s="1810"/>
      <c r="BJ32" s="1405"/>
      <c r="BK32" s="1405"/>
      <c r="BL32" s="1808"/>
      <c r="BM32" s="1405"/>
      <c r="BN32" s="1807">
        <v>6</v>
      </c>
      <c r="BO32" s="1405"/>
      <c r="BP32" s="1405"/>
      <c r="BQ32" s="1405"/>
      <c r="BR32" s="1405"/>
      <c r="BS32" s="1405"/>
      <c r="BT32" s="1809"/>
      <c r="BU32" s="1405"/>
      <c r="BV32" s="1405"/>
      <c r="BW32" s="1402"/>
      <c r="BX32" s="1402"/>
      <c r="BY32" s="1814"/>
      <c r="BZ32" s="770"/>
      <c r="CA32" s="1807">
        <v>6</v>
      </c>
      <c r="CB32" s="1815"/>
      <c r="CC32" s="770"/>
      <c r="CD32" s="770"/>
      <c r="CE32" s="770"/>
      <c r="CF32" s="770"/>
      <c r="CG32" s="770"/>
      <c r="CH32" s="770"/>
      <c r="CI32" s="770"/>
      <c r="CJ32" s="770"/>
      <c r="CK32" s="770"/>
      <c r="CL32" s="770"/>
      <c r="CM32" s="770"/>
      <c r="CN32" s="770"/>
      <c r="CO32" s="770"/>
      <c r="CP32" s="770"/>
      <c r="CQ32" s="770"/>
      <c r="CR32" s="770"/>
      <c r="CS32" s="1807">
        <v>6</v>
      </c>
      <c r="CT32" s="770"/>
      <c r="CU32" s="770"/>
      <c r="CV32" s="770"/>
      <c r="CW32" s="770"/>
      <c r="CX32" s="770"/>
      <c r="CY32" s="770"/>
      <c r="CZ32" s="770"/>
      <c r="DA32" s="770"/>
      <c r="DB32" s="770"/>
      <c r="DC32" s="770"/>
      <c r="DD32" s="770"/>
      <c r="DE32" s="770"/>
      <c r="DF32" s="770"/>
      <c r="DG32" s="408"/>
      <c r="DH32" s="408"/>
      <c r="DI32" s="408"/>
      <c r="DJ32" s="1145"/>
      <c r="DK32" s="1145"/>
      <c r="DL32" s="1145"/>
      <c r="DM32" s="1145"/>
      <c r="DN32" s="1145"/>
    </row>
    <row r="33" spans="1:118" ht="18" customHeight="1">
      <c r="A33" s="1436">
        <v>7</v>
      </c>
      <c r="B33" s="1047"/>
      <c r="C33" s="1402"/>
      <c r="D33" s="1047"/>
      <c r="E33" s="1043"/>
      <c r="F33" s="2679"/>
      <c r="G33" s="2680"/>
      <c r="H33" s="880"/>
      <c r="I33" s="1047"/>
      <c r="J33" s="1043"/>
      <c r="K33" s="1047"/>
      <c r="L33" s="1043"/>
      <c r="M33" s="1047"/>
      <c r="N33" s="1047"/>
      <c r="O33" s="1810"/>
      <c r="P33" s="1436">
        <v>7</v>
      </c>
      <c r="Q33" s="2681"/>
      <c r="R33" s="2682"/>
      <c r="S33" s="1816"/>
      <c r="T33" s="1810"/>
      <c r="U33" s="1810"/>
      <c r="V33" s="1810"/>
      <c r="W33" s="1817"/>
      <c r="X33" s="1810"/>
      <c r="Y33" s="1818"/>
      <c r="Z33" s="1810"/>
      <c r="AA33" s="1817"/>
      <c r="AB33" s="1810"/>
      <c r="AC33" s="1810"/>
      <c r="AD33" s="1436">
        <v>7</v>
      </c>
      <c r="AE33" s="1810"/>
      <c r="AF33" s="1818"/>
      <c r="AG33" s="1810"/>
      <c r="AH33" s="1817"/>
      <c r="AI33" s="1810"/>
      <c r="AJ33" s="1810"/>
      <c r="AK33" s="1810"/>
      <c r="AL33" s="1810"/>
      <c r="AM33" s="1810"/>
      <c r="AN33" s="1810"/>
      <c r="AO33" s="1436">
        <v>7</v>
      </c>
      <c r="AP33" s="1810"/>
      <c r="AQ33" s="1810"/>
      <c r="AR33" s="1810"/>
      <c r="AS33" s="1810"/>
      <c r="AT33" s="1810"/>
      <c r="AU33" s="1810"/>
      <c r="AV33" s="1810"/>
      <c r="AW33" s="1810"/>
      <c r="AX33" s="1810"/>
      <c r="AY33" s="1810"/>
      <c r="AZ33" s="1810"/>
      <c r="BA33" s="1810"/>
      <c r="BB33" s="1810"/>
      <c r="BC33" s="1810"/>
      <c r="BD33" s="1810"/>
      <c r="BE33" s="1810"/>
      <c r="BF33" s="1810"/>
      <c r="BG33" s="1810"/>
      <c r="BH33" s="1810"/>
      <c r="BI33" s="1810"/>
      <c r="BJ33" s="1047"/>
      <c r="BK33" s="1405"/>
      <c r="BL33" s="1043"/>
      <c r="BM33" s="1405"/>
      <c r="BN33" s="1436">
        <v>7</v>
      </c>
      <c r="BO33" s="1047"/>
      <c r="BP33" s="1047"/>
      <c r="BQ33" s="1047"/>
      <c r="BR33" s="1047"/>
      <c r="BS33" s="1047"/>
      <c r="BT33" s="880"/>
      <c r="BU33" s="1047"/>
      <c r="BV33" s="1047"/>
      <c r="BW33" s="1804"/>
      <c r="BX33" s="1804"/>
      <c r="BY33" s="1805"/>
      <c r="BZ33" s="1145"/>
      <c r="CA33" s="1436">
        <v>7</v>
      </c>
      <c r="CB33" s="1806"/>
      <c r="CC33" s="766"/>
      <c r="CD33" s="766"/>
      <c r="CE33" s="766"/>
      <c r="CF33" s="1479"/>
      <c r="CG33" s="1053"/>
      <c r="CH33" s="766"/>
      <c r="CI33" s="766"/>
      <c r="CJ33" s="1479"/>
      <c r="CL33" s="766"/>
      <c r="CM33" s="766"/>
      <c r="CN33" s="1479"/>
      <c r="CO33" s="766"/>
      <c r="CP33" s="766"/>
      <c r="CQ33" s="766"/>
      <c r="CR33" s="1479"/>
      <c r="CS33" s="1436">
        <v>7</v>
      </c>
      <c r="CT33" s="1053"/>
      <c r="CU33" s="766"/>
      <c r="CW33" s="1805"/>
      <c r="CX33" s="766"/>
      <c r="CY33" s="766"/>
      <c r="CZ33" s="1479"/>
      <c r="DA33" s="1145"/>
      <c r="DB33" s="1146"/>
      <c r="DC33" s="1146"/>
      <c r="DD33" s="1146"/>
      <c r="DE33" s="1146"/>
      <c r="DF33" s="770"/>
      <c r="DG33" s="275"/>
      <c r="DI33" s="608"/>
      <c r="DJ33" s="1146"/>
      <c r="DK33" s="1146"/>
      <c r="DL33" s="1146"/>
      <c r="DM33" s="1146"/>
      <c r="DN33" s="1146"/>
    </row>
    <row r="34" spans="1:118" ht="18" customHeight="1">
      <c r="A34" s="1807">
        <v>8</v>
      </c>
      <c r="B34" s="1405"/>
      <c r="C34" s="1804"/>
      <c r="D34" s="1405"/>
      <c r="E34" s="1808"/>
      <c r="F34" s="2662"/>
      <c r="G34" s="2664"/>
      <c r="H34" s="1809"/>
      <c r="I34" s="1405"/>
      <c r="J34" s="1808"/>
      <c r="K34" s="1405"/>
      <c r="L34" s="1808"/>
      <c r="M34" s="1405"/>
      <c r="N34" s="1405"/>
      <c r="O34" s="1810"/>
      <c r="P34" s="1807">
        <v>8</v>
      </c>
      <c r="Q34" s="2681"/>
      <c r="R34" s="2682"/>
      <c r="S34" s="1811"/>
      <c r="T34" s="1803"/>
      <c r="U34" s="1803"/>
      <c r="V34" s="1803"/>
      <c r="W34" s="678"/>
      <c r="X34" s="1803"/>
      <c r="Y34" s="1812"/>
      <c r="Z34" s="1803"/>
      <c r="AA34" s="678"/>
      <c r="AB34" s="1803"/>
      <c r="AC34" s="1803"/>
      <c r="AD34" s="1807">
        <v>8</v>
      </c>
      <c r="AE34" s="1803"/>
      <c r="AF34" s="1812"/>
      <c r="AG34" s="1803"/>
      <c r="AH34" s="678"/>
      <c r="AI34" s="1803"/>
      <c r="AJ34" s="1803"/>
      <c r="AK34" s="1803"/>
      <c r="AL34" s="1803"/>
      <c r="AM34" s="1803"/>
      <c r="AN34" s="1803"/>
      <c r="AO34" s="1807">
        <v>8</v>
      </c>
      <c r="AP34" s="1803"/>
      <c r="AQ34" s="1803"/>
      <c r="AR34" s="1803"/>
      <c r="AS34" s="1803"/>
      <c r="AT34" s="1803"/>
      <c r="AU34" s="1803"/>
      <c r="AV34" s="1810"/>
      <c r="AW34" s="1810"/>
      <c r="AX34" s="1810"/>
      <c r="AY34" s="1810"/>
      <c r="AZ34" s="1810"/>
      <c r="BA34" s="1810"/>
      <c r="BB34" s="1810"/>
      <c r="BC34" s="1810"/>
      <c r="BD34" s="1810"/>
      <c r="BE34" s="1810"/>
      <c r="BF34" s="1810"/>
      <c r="BG34" s="1810"/>
      <c r="BH34" s="1810"/>
      <c r="BI34" s="1810"/>
      <c r="BJ34" s="1405"/>
      <c r="BK34" s="1405"/>
      <c r="BL34" s="1808"/>
      <c r="BM34" s="1405"/>
      <c r="BN34" s="1807">
        <v>8</v>
      </c>
      <c r="BO34" s="1405"/>
      <c r="BP34" s="1405"/>
      <c r="BQ34" s="1405"/>
      <c r="BR34" s="1405"/>
      <c r="BS34" s="1405"/>
      <c r="BT34" s="1809"/>
      <c r="BU34" s="1405"/>
      <c r="BV34" s="1405"/>
      <c r="BW34" s="1402"/>
      <c r="BX34" s="1402"/>
      <c r="BY34" s="1813"/>
      <c r="BZ34" s="1146"/>
      <c r="CA34" s="1807">
        <v>8</v>
      </c>
      <c r="CB34" s="1814"/>
      <c r="CC34" s="770"/>
      <c r="CD34" s="770"/>
      <c r="CE34" s="770"/>
      <c r="CF34" s="1060"/>
      <c r="CG34" s="1814"/>
      <c r="CH34" s="770"/>
      <c r="CI34" s="770"/>
      <c r="CJ34" s="1060"/>
      <c r="CK34" s="1815"/>
      <c r="CL34" s="770"/>
      <c r="CM34" s="770"/>
      <c r="CN34" s="1060"/>
      <c r="CO34" s="770"/>
      <c r="CP34" s="770"/>
      <c r="CQ34" s="770"/>
      <c r="CR34" s="1060"/>
      <c r="CS34" s="1807">
        <v>8</v>
      </c>
      <c r="CT34" s="1814"/>
      <c r="CU34" s="770"/>
      <c r="CV34" s="1815"/>
      <c r="CW34" s="1813"/>
      <c r="CX34" s="770"/>
      <c r="CY34" s="770"/>
      <c r="CZ34" s="1060"/>
      <c r="DA34" s="1146"/>
      <c r="DB34" s="1146"/>
      <c r="DC34" s="1146"/>
      <c r="DD34" s="1146"/>
      <c r="DE34" s="1146"/>
      <c r="DF34" s="770"/>
      <c r="DG34" s="408"/>
      <c r="DH34" s="406"/>
      <c r="DI34" s="609"/>
      <c r="DJ34" s="1145"/>
      <c r="DK34" s="1145"/>
      <c r="DL34" s="1145"/>
      <c r="DM34" s="1145"/>
      <c r="DN34" s="1145"/>
    </row>
    <row r="35" spans="1:118" ht="18" customHeight="1">
      <c r="A35" s="1436">
        <v>9</v>
      </c>
      <c r="B35" s="1047"/>
      <c r="C35" s="1402"/>
      <c r="D35" s="1047"/>
      <c r="E35" s="1043"/>
      <c r="F35" s="2679"/>
      <c r="G35" s="2680"/>
      <c r="H35" s="880"/>
      <c r="I35" s="1047"/>
      <c r="J35" s="1043"/>
      <c r="K35" s="1047"/>
      <c r="L35" s="1043"/>
      <c r="M35" s="1047"/>
      <c r="N35" s="1047"/>
      <c r="O35" s="1810"/>
      <c r="P35" s="1436">
        <v>9</v>
      </c>
      <c r="Q35" s="2681"/>
      <c r="R35" s="2682"/>
      <c r="S35" s="1816"/>
      <c r="T35" s="1810"/>
      <c r="U35" s="1810"/>
      <c r="V35" s="1810"/>
      <c r="W35" s="1817"/>
      <c r="X35" s="1810"/>
      <c r="Y35" s="1818"/>
      <c r="Z35" s="1810"/>
      <c r="AA35" s="1817"/>
      <c r="AB35" s="1810"/>
      <c r="AC35" s="1810"/>
      <c r="AD35" s="1436">
        <v>9</v>
      </c>
      <c r="AE35" s="1810"/>
      <c r="AF35" s="1818"/>
      <c r="AG35" s="1810"/>
      <c r="AH35" s="1817"/>
      <c r="AI35" s="1810"/>
      <c r="AJ35" s="1810"/>
      <c r="AK35" s="1810"/>
      <c r="AL35" s="1810"/>
      <c r="AM35" s="1810"/>
      <c r="AN35" s="1810"/>
      <c r="AO35" s="1436">
        <v>9</v>
      </c>
      <c r="AP35" s="1810"/>
      <c r="AQ35" s="1810"/>
      <c r="AR35" s="1810"/>
      <c r="AS35" s="1810"/>
      <c r="AT35" s="1810"/>
      <c r="AU35" s="1810"/>
      <c r="AV35" s="1810"/>
      <c r="AW35" s="1810"/>
      <c r="AX35" s="1810"/>
      <c r="AY35" s="1810"/>
      <c r="AZ35" s="1810"/>
      <c r="BA35" s="1810"/>
      <c r="BB35" s="1810"/>
      <c r="BC35" s="1810"/>
      <c r="BD35" s="1810"/>
      <c r="BE35" s="1810"/>
      <c r="BF35" s="1810"/>
      <c r="BG35" s="1810"/>
      <c r="BH35" s="1810"/>
      <c r="BI35" s="1810"/>
      <c r="BJ35" s="1047"/>
      <c r="BK35" s="1405"/>
      <c r="BL35" s="1043"/>
      <c r="BM35" s="1405"/>
      <c r="BN35" s="1436">
        <v>9</v>
      </c>
      <c r="BO35" s="1047"/>
      <c r="BP35" s="1047"/>
      <c r="BQ35" s="1047"/>
      <c r="BR35" s="1047"/>
      <c r="BS35" s="1047"/>
      <c r="BT35" s="880"/>
      <c r="BU35" s="1047"/>
      <c r="BV35" s="1047"/>
      <c r="BW35" s="1804"/>
      <c r="BX35" s="1804"/>
      <c r="BY35" s="1805"/>
      <c r="BZ35" s="1145"/>
      <c r="CA35" s="1436">
        <v>9</v>
      </c>
      <c r="CB35" s="1814"/>
      <c r="CC35" s="766"/>
      <c r="CD35" s="766"/>
      <c r="CE35" s="766"/>
      <c r="CF35" s="1479"/>
      <c r="CG35" s="1053"/>
      <c r="CH35" s="766"/>
      <c r="CI35" s="766"/>
      <c r="CJ35" s="1479"/>
      <c r="CL35" s="766"/>
      <c r="CM35" s="766"/>
      <c r="CN35" s="1479"/>
      <c r="CO35" s="766"/>
      <c r="CP35" s="766"/>
      <c r="CQ35" s="766"/>
      <c r="CR35" s="1479"/>
      <c r="CS35" s="1436">
        <v>9</v>
      </c>
      <c r="CT35" s="1053"/>
      <c r="CU35" s="766"/>
      <c r="CW35" s="1805"/>
      <c r="CX35" s="766"/>
      <c r="CY35" s="766"/>
      <c r="CZ35" s="1479"/>
      <c r="DA35" s="1145"/>
      <c r="DB35" s="1146"/>
      <c r="DC35" s="1146"/>
      <c r="DD35" s="1146"/>
      <c r="DE35" s="1146"/>
      <c r="DF35" s="770"/>
      <c r="DG35" s="275"/>
      <c r="DI35" s="608"/>
      <c r="DJ35" s="1146"/>
      <c r="DK35" s="1146"/>
      <c r="DL35" s="1146"/>
      <c r="DM35" s="1146"/>
      <c r="DN35" s="1146"/>
    </row>
    <row r="36" spans="1:118" ht="18" customHeight="1">
      <c r="A36" s="1807">
        <v>10</v>
      </c>
      <c r="B36" s="1405"/>
      <c r="C36" s="1804"/>
      <c r="D36" s="1405"/>
      <c r="E36" s="1808"/>
      <c r="F36" s="2662"/>
      <c r="G36" s="2664"/>
      <c r="H36" s="1809"/>
      <c r="I36" s="1405"/>
      <c r="J36" s="1808"/>
      <c r="K36" s="1405"/>
      <c r="L36" s="1808"/>
      <c r="M36" s="1405"/>
      <c r="N36" s="1405"/>
      <c r="O36" s="1810"/>
      <c r="P36" s="1807">
        <v>10</v>
      </c>
      <c r="Q36" s="1821"/>
      <c r="R36" s="1818"/>
      <c r="S36" s="1818"/>
      <c r="T36" s="1810"/>
      <c r="U36" s="1810"/>
      <c r="V36" s="1810"/>
      <c r="W36" s="1810"/>
      <c r="X36" s="1810"/>
      <c r="Y36" s="1810"/>
      <c r="Z36" s="1810"/>
      <c r="AA36" s="1810"/>
      <c r="AB36" s="1810"/>
      <c r="AC36" s="1810"/>
      <c r="AD36" s="1807">
        <v>10</v>
      </c>
      <c r="AE36" s="1810"/>
      <c r="AF36" s="1810"/>
      <c r="AG36" s="1810"/>
      <c r="AH36" s="1810"/>
      <c r="AI36" s="1810"/>
      <c r="AJ36" s="1810"/>
      <c r="AK36" s="1810"/>
      <c r="AL36" s="1810"/>
      <c r="AM36" s="1810"/>
      <c r="AN36" s="1810"/>
      <c r="AO36" s="1807">
        <v>10</v>
      </c>
      <c r="AP36" s="1810"/>
      <c r="AQ36" s="1810"/>
      <c r="AR36" s="1810"/>
      <c r="AS36" s="1810"/>
      <c r="AT36" s="1810"/>
      <c r="AU36" s="1810"/>
      <c r="AV36" s="1750"/>
      <c r="AW36" s="1750"/>
      <c r="AX36" s="1750"/>
      <c r="AY36" s="1750"/>
      <c r="AZ36" s="1750"/>
      <c r="BA36" s="1750"/>
      <c r="BB36" s="1750"/>
      <c r="BC36" s="1750"/>
      <c r="BD36" s="1750"/>
      <c r="BE36" s="1750"/>
      <c r="BF36" s="1750"/>
      <c r="BG36" s="1750"/>
      <c r="BH36" s="1750"/>
      <c r="BI36" s="1750"/>
      <c r="BJ36" s="1405"/>
      <c r="BK36" s="1405"/>
      <c r="BL36" s="1808"/>
      <c r="BM36" s="1405"/>
      <c r="BN36" s="1807">
        <v>10</v>
      </c>
      <c r="BO36" s="1405"/>
      <c r="BP36" s="1405"/>
      <c r="BQ36" s="1405"/>
      <c r="BR36" s="1405"/>
      <c r="BS36" s="1405"/>
      <c r="BT36" s="1809"/>
      <c r="BU36" s="1405"/>
      <c r="BV36" s="1405"/>
      <c r="BY36" s="1813"/>
      <c r="BZ36" s="1146"/>
      <c r="CA36" s="1807">
        <v>10</v>
      </c>
      <c r="CB36" s="1814"/>
      <c r="CC36" s="770"/>
      <c r="CD36" s="770"/>
      <c r="CE36" s="770"/>
      <c r="CF36" s="1060"/>
      <c r="CG36" s="1814"/>
      <c r="CH36" s="770"/>
      <c r="CI36" s="770"/>
      <c r="CJ36" s="1060"/>
      <c r="CK36" s="1815"/>
      <c r="CL36" s="770"/>
      <c r="CM36" s="770"/>
      <c r="CN36" s="1060"/>
      <c r="CO36" s="770"/>
      <c r="CP36" s="770"/>
      <c r="CQ36" s="770"/>
      <c r="CR36" s="1060"/>
      <c r="CS36" s="1807">
        <v>10</v>
      </c>
      <c r="CT36" s="1814"/>
      <c r="CU36" s="770"/>
      <c r="CV36" s="1815"/>
      <c r="CW36" s="1813"/>
      <c r="CX36" s="770"/>
      <c r="CY36" s="770"/>
      <c r="CZ36" s="1060"/>
      <c r="DA36" s="1146"/>
      <c r="DB36" s="1146"/>
      <c r="DC36" s="1146"/>
      <c r="DD36" s="1146"/>
      <c r="DE36" s="1146"/>
      <c r="DF36" s="770"/>
      <c r="DG36" s="408"/>
      <c r="DH36" s="406"/>
      <c r="DI36" s="609"/>
      <c r="DJ36" s="1145"/>
      <c r="DK36" s="1145"/>
      <c r="DL36" s="1145"/>
      <c r="DM36" s="1145"/>
      <c r="DN36" s="1145"/>
    </row>
    <row r="37" spans="1:118">
      <c r="DJ37" s="1148"/>
      <c r="DK37" s="1148"/>
      <c r="DM37" s="1148"/>
      <c r="DN37" s="1148"/>
    </row>
  </sheetData>
  <customSheetViews>
    <customSheetView guid="{9C153D9E-615C-443B-9CD7-551163282F03}" scale="180" showPageBreaks="1" view="pageLayout" topLeftCell="BT20">
      <selection activeCell="CB13" sqref="CB13"/>
      <colBreaks count="6" manualBreakCount="6">
        <brk id="15" max="1048575" man="1"/>
        <brk id="29" max="1048575" man="1"/>
        <brk id="40" max="1048575" man="1"/>
        <brk id="60" max="35" man="1"/>
        <brk id="71" max="1048575" man="1"/>
        <brk id="89" max="1048575" man="1"/>
      </colBreaks>
      <pageMargins left="0" right="0" top="0" bottom="0" header="0" footer="0"/>
      <pageSetup firstPageNumber="24" orientation="landscape" r:id="rId1"/>
      <headerFooter>
        <oddFooter>&amp;C&amp;P</oddFooter>
      </headerFooter>
    </customSheetView>
    <customSheetView guid="{BE9F68F7-D81B-4526-9959-D871EC50BDFF}" scale="180" showPageBreaks="1" view="pageLayout" topLeftCell="BT20">
      <selection activeCell="CB13" sqref="CB13"/>
      <colBreaks count="6" manualBreakCount="6">
        <brk id="15" max="1048575" man="1"/>
        <brk id="29" max="1048575" man="1"/>
        <brk id="40" max="1048575" man="1"/>
        <brk id="60" max="35" man="1"/>
        <brk id="71" max="1048575" man="1"/>
        <brk id="89" max="1048575" man="1"/>
      </colBreaks>
      <pageMargins left="0" right="0" top="0" bottom="0" header="0" footer="0"/>
      <pageSetup firstPageNumber="24" orientation="landscape" r:id="rId2"/>
      <headerFooter>
        <oddFooter>&amp;C&amp;P</oddFooter>
      </headerFooter>
    </customSheetView>
    <customSheetView guid="{EF790C5B-80DA-4544-9EB7-EFE0323B2298}" scale="170" showPageBreaks="1" view="pageLayout" topLeftCell="A20">
      <selection activeCell="BP7" sqref="BP7:BP18"/>
      <colBreaks count="6" manualBreakCount="6">
        <brk id="15" max="1048575" man="1"/>
        <brk id="29" max="1048575" man="1"/>
        <brk id="40" max="1048575" man="1"/>
        <brk id="60" max="35" man="1"/>
        <brk id="71" max="1048575" man="1"/>
        <brk id="89" max="1048575" man="1"/>
      </colBreaks>
      <pageMargins left="0" right="0" top="0" bottom="0" header="0" footer="0"/>
      <pageSetup firstPageNumber="24" orientation="landscape" r:id="rId3"/>
      <headerFooter>
        <oddFooter>&amp;C&amp;P</oddFooter>
      </headerFooter>
    </customSheetView>
    <customSheetView guid="{C9D2DBB1-CD01-4732-8C86-64BE16C94753}" scale="90" showPageBreaks="1" view="pageBreakPreview">
      <selection activeCell="A6" sqref="A6:A26"/>
      <colBreaks count="6" manualBreakCount="6">
        <brk id="15" max="1048575" man="1"/>
        <brk id="29" max="1048575" man="1"/>
        <brk id="40" max="1048575" man="1"/>
        <brk id="60" max="35" man="1"/>
        <brk id="71" max="1048575" man="1"/>
        <brk id="89" max="1048575" man="1"/>
      </colBreaks>
      <pageMargins left="0" right="0" top="0" bottom="0" header="0" footer="0"/>
      <pageSetup firstPageNumber="24" orientation="landscape" r:id="rId4"/>
      <headerFooter>
        <oddFooter>&amp;C&amp;P</oddFooter>
      </headerFooter>
    </customSheetView>
    <customSheetView guid="{BFEC163F-7C4E-49B7-9F32-15225772E72F}" scale="90" showPageBreaks="1" view="pageBreakPreview" topLeftCell="CA1">
      <selection activeCell="CC14" sqref="CC14"/>
      <colBreaks count="6" manualBreakCount="6">
        <brk id="15" max="1048575" man="1"/>
        <brk id="29" max="1048575" man="1"/>
        <brk id="40" max="1048575" man="1"/>
        <brk id="60" max="35" man="1"/>
        <brk id="71" max="1048575" man="1"/>
        <brk id="89" max="1048575" man="1"/>
      </colBreaks>
      <pageMargins left="0" right="0" top="0" bottom="0" header="0" footer="0"/>
      <pageSetup firstPageNumber="24" orientation="landscape" r:id="rId5"/>
      <headerFooter>
        <oddFooter>&amp;C&amp;P</oddFooter>
      </headerFooter>
    </customSheetView>
    <customSheetView guid="{5529DB6B-163A-4048-9107-267B30B97DF3}" scale="90" showPageBreaks="1" view="pageBreakPreview" topLeftCell="CA1">
      <selection activeCell="CC14" sqref="CC14"/>
      <colBreaks count="6" manualBreakCount="6">
        <brk id="15" max="1048575" man="1"/>
        <brk id="29" max="1048575" man="1"/>
        <brk id="40" max="1048575" man="1"/>
        <brk id="60" max="35" man="1"/>
        <brk id="71" max="1048575" man="1"/>
        <brk id="89" max="1048575" man="1"/>
      </colBreaks>
      <pageMargins left="0" right="0" top="0" bottom="0" header="0" footer="0"/>
      <pageSetup firstPageNumber="24" orientation="landscape" r:id="rId6"/>
      <headerFooter>
        <oddFooter>&amp;C&amp;P</oddFooter>
      </headerFooter>
    </customSheetView>
    <customSheetView guid="{9B0763AA-FA4B-479A-900C-C113E8BEEFEB}" showPageBreaks="1" view="pageLayout" topLeftCell="P4">
      <selection activeCell="AC16" sqref="AC16"/>
      <colBreaks count="6" manualBreakCount="6">
        <brk id="15" max="1048575" man="1"/>
        <brk id="29" max="1048575" man="1"/>
        <brk id="40" max="1048575" man="1"/>
        <brk id="60" max="35" man="1"/>
        <brk id="71" max="1048575" man="1"/>
        <brk id="89" max="1048575" man="1"/>
      </colBreaks>
      <pageMargins left="0" right="0" top="0" bottom="0" header="0" footer="0"/>
      <pageSetup firstPageNumber="24" orientation="landscape" r:id="rId7"/>
      <headerFooter>
        <oddFooter>&amp;C&amp;P</oddFooter>
      </headerFooter>
    </customSheetView>
    <customSheetView guid="{89903799-8228-4A6D-8A81-7F80BC61226D}" scale="190" showPageBreaks="1" view="pageLayout" topLeftCell="CX1">
      <selection activeCell="CM24" sqref="CM24:CT24"/>
      <colBreaks count="6" manualBreakCount="6">
        <brk id="15" max="1048575" man="1"/>
        <brk id="29" max="1048575" man="1"/>
        <brk id="40" max="1048575" man="1"/>
        <brk id="60" max="35" man="1"/>
        <brk id="71" max="1048575" man="1"/>
        <brk id="89" max="1048575" man="1"/>
      </colBreaks>
      <pageMargins left="0" right="0" top="0" bottom="0" header="0" footer="0"/>
      <pageSetup firstPageNumber="24" orientation="landscape" r:id="rId8"/>
      <headerFooter>
        <oddFooter>&amp;C&amp;P</oddFooter>
      </headerFooter>
    </customSheetView>
    <customSheetView guid="{2524630E-605A-4616-AD5D-6CF7B1E9752C}" scale="180" showPageBreaks="1" view="pageLayout" topLeftCell="BT20">
      <selection activeCell="CB13" sqref="CB13"/>
      <colBreaks count="6" manualBreakCount="6">
        <brk id="15" max="1048575" man="1"/>
        <brk id="29" max="1048575" man="1"/>
        <brk id="40" max="1048575" man="1"/>
        <brk id="60" max="35" man="1"/>
        <brk id="71" max="1048575" man="1"/>
        <brk id="89" max="1048575" man="1"/>
      </colBreaks>
      <pageMargins left="0" right="0" top="0" bottom="0" header="0" footer="0"/>
      <pageSetup firstPageNumber="24" orientation="landscape" r:id="rId9"/>
      <headerFooter>
        <oddFooter>&amp;C&amp;P</oddFooter>
      </headerFooter>
    </customSheetView>
  </customSheetViews>
  <mergeCells count="220">
    <mergeCell ref="B6:B23"/>
    <mergeCell ref="Q18:R18"/>
    <mergeCell ref="AI6:AI13"/>
    <mergeCell ref="A5:A26"/>
    <mergeCell ref="I5:J5"/>
    <mergeCell ref="K5:L5"/>
    <mergeCell ref="P5:P26"/>
    <mergeCell ref="AD5:AD26"/>
    <mergeCell ref="AO5:AO26"/>
    <mergeCell ref="I6:J14"/>
    <mergeCell ref="K6:L13"/>
    <mergeCell ref="M6:M14"/>
    <mergeCell ref="N6:N15"/>
    <mergeCell ref="AN6:AN9"/>
    <mergeCell ref="Q11:R12"/>
    <mergeCell ref="S12:S13"/>
    <mergeCell ref="Q17:R17"/>
    <mergeCell ref="X15:X17"/>
    <mergeCell ref="AJ6:AJ11"/>
    <mergeCell ref="AK6:AK16"/>
    <mergeCell ref="AL6:AL11"/>
    <mergeCell ref="AM6:AM10"/>
    <mergeCell ref="AB13:AB14"/>
    <mergeCell ref="AM15:AM16"/>
    <mergeCell ref="N16:N18"/>
    <mergeCell ref="BL6:BL17"/>
    <mergeCell ref="CS5:CS26"/>
    <mergeCell ref="C6:C14"/>
    <mergeCell ref="D6:E13"/>
    <mergeCell ref="F6:G10"/>
    <mergeCell ref="H6:H11"/>
    <mergeCell ref="O6:O10"/>
    <mergeCell ref="Q6:R8"/>
    <mergeCell ref="U6:U11"/>
    <mergeCell ref="V6:V11"/>
    <mergeCell ref="AP5:BI5"/>
    <mergeCell ref="BN5:BN26"/>
    <mergeCell ref="W6:W13"/>
    <mergeCell ref="X6:X12"/>
    <mergeCell ref="Y6:Y14"/>
    <mergeCell ref="Z6:Z14"/>
    <mergeCell ref="AA6:AA14"/>
    <mergeCell ref="AB6:AB11"/>
    <mergeCell ref="AC6:AC9"/>
    <mergeCell ref="AE6:AE12"/>
    <mergeCell ref="AF6:AF12"/>
    <mergeCell ref="AG6:AG14"/>
    <mergeCell ref="AZ10:AZ24"/>
    <mergeCell ref="BB10:BB24"/>
    <mergeCell ref="BC10:BC24"/>
    <mergeCell ref="BF10:BF24"/>
    <mergeCell ref="BJ6:BJ17"/>
    <mergeCell ref="AE16:AE17"/>
    <mergeCell ref="AG16:AG17"/>
    <mergeCell ref="BE10:BE24"/>
    <mergeCell ref="AH6:AH12"/>
    <mergeCell ref="AP10:AP24"/>
    <mergeCell ref="AT10:AT24"/>
    <mergeCell ref="AU10:AU24"/>
    <mergeCell ref="AV10:AV24"/>
    <mergeCell ref="AW10:AW24"/>
    <mergeCell ref="AX10:AX24"/>
    <mergeCell ref="BI10:BI24"/>
    <mergeCell ref="BD10:BD24"/>
    <mergeCell ref="AN15:AN16"/>
    <mergeCell ref="BP20:BP23"/>
    <mergeCell ref="BQ20:BQ23"/>
    <mergeCell ref="BZ16:BZ17"/>
    <mergeCell ref="X18:X20"/>
    <mergeCell ref="AE19:AE20"/>
    <mergeCell ref="AG19:AG20"/>
    <mergeCell ref="AI19:AI20"/>
    <mergeCell ref="AK19:AK20"/>
    <mergeCell ref="BR20:BR23"/>
    <mergeCell ref="BS20:BS23"/>
    <mergeCell ref="BT20:BT23"/>
    <mergeCell ref="BU20:BU23"/>
    <mergeCell ref="BV20:BV23"/>
    <mergeCell ref="X22:X24"/>
    <mergeCell ref="BK20:BK23"/>
    <mergeCell ref="BL20:BL23"/>
    <mergeCell ref="BM20:BM23"/>
    <mergeCell ref="BO20:BO23"/>
    <mergeCell ref="BV6:BV17"/>
    <mergeCell ref="BY6:BY13"/>
    <mergeCell ref="BZ6:BZ13"/>
    <mergeCell ref="BJ20:BJ23"/>
    <mergeCell ref="BH10:BH24"/>
    <mergeCell ref="AY10:AY24"/>
    <mergeCell ref="AG25:AG26"/>
    <mergeCell ref="AH25:AH26"/>
    <mergeCell ref="H25:H26"/>
    <mergeCell ref="M25:M26"/>
    <mergeCell ref="N25:N26"/>
    <mergeCell ref="O25:O26"/>
    <mergeCell ref="Q25:R26"/>
    <mergeCell ref="T25:T26"/>
    <mergeCell ref="U25:U26"/>
    <mergeCell ref="V25:V26"/>
    <mergeCell ref="W25:W26"/>
    <mergeCell ref="CT25:CW25"/>
    <mergeCell ref="CX25:DA25"/>
    <mergeCell ref="DB25:DE25"/>
    <mergeCell ref="DF25:DI25"/>
    <mergeCell ref="F26:G26"/>
    <mergeCell ref="BY25:BY26"/>
    <mergeCell ref="BZ25:BZ26"/>
    <mergeCell ref="CB25:CB26"/>
    <mergeCell ref="CC25:CF25"/>
    <mergeCell ref="CG25:CJ25"/>
    <mergeCell ref="CK25:CN25"/>
    <mergeCell ref="BQ25:BQ26"/>
    <mergeCell ref="BR25:BR26"/>
    <mergeCell ref="BS25:BS26"/>
    <mergeCell ref="BT25:BT26"/>
    <mergeCell ref="BU25:BU26"/>
    <mergeCell ref="BV25:BV26"/>
    <mergeCell ref="CA5:CA26"/>
    <mergeCell ref="CC5:CN5"/>
    <mergeCell ref="BH25:BH26"/>
    <mergeCell ref="BI25:BI26"/>
    <mergeCell ref="BD25:BD26"/>
    <mergeCell ref="BJ25:BJ26"/>
    <mergeCell ref="BK25:BK26"/>
    <mergeCell ref="F27:G27"/>
    <mergeCell ref="F28:G28"/>
    <mergeCell ref="Q28:R28"/>
    <mergeCell ref="F29:G29"/>
    <mergeCell ref="Q29:R29"/>
    <mergeCell ref="F30:G30"/>
    <mergeCell ref="Q30:R30"/>
    <mergeCell ref="S6:S10"/>
    <mergeCell ref="CO25:CR25"/>
    <mergeCell ref="BL25:BL26"/>
    <mergeCell ref="BM25:BM26"/>
    <mergeCell ref="BO25:BO26"/>
    <mergeCell ref="BP25:BP26"/>
    <mergeCell ref="AV25:AV26"/>
    <mergeCell ref="AW25:AW26"/>
    <mergeCell ref="AX25:AX26"/>
    <mergeCell ref="AY25:AY26"/>
    <mergeCell ref="AZ25:AZ26"/>
    <mergeCell ref="BB25:BB26"/>
    <mergeCell ref="BC25:BC26"/>
    <mergeCell ref="BE25:BE26"/>
    <mergeCell ref="BF25:BF26"/>
    <mergeCell ref="AI25:AI26"/>
    <mergeCell ref="AJ25:AJ26"/>
    <mergeCell ref="F35:G35"/>
    <mergeCell ref="Q35:R35"/>
    <mergeCell ref="F36:G36"/>
    <mergeCell ref="F31:G31"/>
    <mergeCell ref="Q31:R31"/>
    <mergeCell ref="F32:G32"/>
    <mergeCell ref="F33:G33"/>
    <mergeCell ref="Q33:R33"/>
    <mergeCell ref="F34:G34"/>
    <mergeCell ref="Q34:R34"/>
    <mergeCell ref="BN2:BS2"/>
    <mergeCell ref="AC25:AC26"/>
    <mergeCell ref="S15:S16"/>
    <mergeCell ref="T6:T12"/>
    <mergeCell ref="Q13:R14"/>
    <mergeCell ref="AB15:AB18"/>
    <mergeCell ref="AB20:AB22"/>
    <mergeCell ref="Q22:R23"/>
    <mergeCell ref="Q15:R16"/>
    <mergeCell ref="S25:S26"/>
    <mergeCell ref="AK25:AK26"/>
    <mergeCell ref="AL25:AL26"/>
    <mergeCell ref="AM25:AM26"/>
    <mergeCell ref="AN25:AN26"/>
    <mergeCell ref="AP25:AP26"/>
    <mergeCell ref="AT25:AT26"/>
    <mergeCell ref="AU25:AU26"/>
    <mergeCell ref="X25:X26"/>
    <mergeCell ref="Y25:Y26"/>
    <mergeCell ref="Z25:Z26"/>
    <mergeCell ref="AA25:AA26"/>
    <mergeCell ref="AB25:AB26"/>
    <mergeCell ref="AE25:AE26"/>
    <mergeCell ref="AF25:AF26"/>
    <mergeCell ref="BX25:BX26"/>
    <mergeCell ref="BW25:BW26"/>
    <mergeCell ref="BW17:BW18"/>
    <mergeCell ref="BW22:BW24"/>
    <mergeCell ref="AQ25:AQ26"/>
    <mergeCell ref="AR25:AR26"/>
    <mergeCell ref="AS25:AS26"/>
    <mergeCell ref="AS10:AS24"/>
    <mergeCell ref="AR10:AR24"/>
    <mergeCell ref="AQ10:AQ24"/>
    <mergeCell ref="BA10:BA24"/>
    <mergeCell ref="BG10:BG24"/>
    <mergeCell ref="BG25:BG26"/>
    <mergeCell ref="BA25:BA26"/>
    <mergeCell ref="BM6:BM17"/>
    <mergeCell ref="BO6:BO17"/>
    <mergeCell ref="BP6:BP18"/>
    <mergeCell ref="BQ6:BQ17"/>
    <mergeCell ref="BR6:BR17"/>
    <mergeCell ref="BS6:BS17"/>
    <mergeCell ref="BT6:BT17"/>
    <mergeCell ref="BU6:BU17"/>
    <mergeCell ref="AP6:BI8"/>
    <mergeCell ref="BK6:BK17"/>
    <mergeCell ref="DJ6:DJ17"/>
    <mergeCell ref="DK6:DN7"/>
    <mergeCell ref="DK9:DK24"/>
    <mergeCell ref="DL9:DL24"/>
    <mergeCell ref="DM9:DM24"/>
    <mergeCell ref="DN9:DN24"/>
    <mergeCell ref="BW6:BW11"/>
    <mergeCell ref="BX6:BX11"/>
    <mergeCell ref="BW15:BW16"/>
    <mergeCell ref="BW20:BW21"/>
    <mergeCell ref="CB6:CB9"/>
    <mergeCell ref="CT6:DI6"/>
    <mergeCell ref="CT24:DA24"/>
    <mergeCell ref="DB24:DI24"/>
  </mergeCells>
  <pageMargins left="0.314" right="0.314" top="0.11799999999999999" bottom="0.27500000000000002" header="0.157" footer="0.11799999999999999"/>
  <pageSetup firstPageNumber="24" orientation="landscape" r:id="rId10"/>
  <headerFooter>
    <oddFooter>&amp;C&amp;P</oddFooter>
  </headerFooter>
  <colBreaks count="6" manualBreakCount="6">
    <brk id="15" max="1048575" man="1"/>
    <brk id="29" max="1048575" man="1"/>
    <brk id="40" max="1048575" man="1"/>
    <brk id="65" max="35" man="1"/>
    <brk id="78" max="1048575" man="1"/>
    <brk id="96" max="1048575" man="1"/>
  </colBreaks>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800-000000000000}">
  <sheetPr>
    <tabColor rgb="FFFF0000"/>
  </sheetPr>
  <dimension ref="A1:AB164"/>
  <sheetViews>
    <sheetView topLeftCell="Q126" zoomScale="230" zoomScaleNormal="160" zoomScaleSheetLayoutView="130" workbookViewId="0">
      <selection activeCell="W139" sqref="W139"/>
    </sheetView>
  </sheetViews>
  <sheetFormatPr defaultColWidth="9.140625" defaultRowHeight="12.75"/>
  <cols>
    <col min="1" max="1" width="5.42578125" style="891" customWidth="1"/>
    <col min="2" max="2" width="3" style="889" customWidth="1"/>
    <col min="3" max="3" width="2.42578125" style="881" customWidth="1"/>
    <col min="4" max="4" width="6" style="881" customWidth="1"/>
    <col min="5" max="5" width="5.5703125" style="881" customWidth="1"/>
    <col min="6" max="6" width="5.140625" style="13" customWidth="1"/>
    <col min="7" max="7" width="5" style="13" customWidth="1"/>
    <col min="8" max="8" width="6.140625" style="890" customWidth="1"/>
    <col min="9" max="9" width="6.7109375" style="881" customWidth="1"/>
    <col min="10" max="10" width="5.7109375" style="881" customWidth="1"/>
    <col min="11" max="12" width="3" style="881" customWidth="1"/>
    <col min="13" max="13" width="6" style="881" customWidth="1"/>
    <col min="14" max="14" width="5.42578125" style="881" customWidth="1"/>
    <col min="15" max="16" width="6" style="881" customWidth="1"/>
    <col min="17" max="17" width="5.42578125" style="881" customWidth="1"/>
    <col min="18" max="18" width="6.42578125" style="881" customWidth="1"/>
    <col min="19" max="19" width="5.42578125" style="891" customWidth="1"/>
    <col min="20" max="20" width="2.85546875" style="881" customWidth="1"/>
    <col min="21" max="21" width="3.42578125" style="889" customWidth="1"/>
    <col min="22" max="22" width="4.42578125" style="881" customWidth="1"/>
    <col min="23" max="23" width="13.42578125" style="881" customWidth="1"/>
    <col min="24" max="24" width="6" style="881" customWidth="1"/>
    <col min="25" max="25" width="15.28515625" style="881" customWidth="1"/>
    <col min="26" max="26" width="4.85546875" style="881" customWidth="1"/>
    <col min="27" max="27" width="13" style="881" customWidth="1"/>
    <col min="28" max="28" width="2.7109375" style="881" customWidth="1"/>
    <col min="29" max="16384" width="9.140625" style="892"/>
  </cols>
  <sheetData>
    <row r="1" spans="1:28">
      <c r="A1" s="888" t="s">
        <v>1778</v>
      </c>
    </row>
    <row r="2" spans="1:28" ht="15.75">
      <c r="A2" s="893"/>
      <c r="B2" s="894"/>
      <c r="C2" s="895"/>
      <c r="D2" s="895"/>
      <c r="E2" s="896">
        <v>11</v>
      </c>
      <c r="F2" s="699" t="s">
        <v>1396</v>
      </c>
      <c r="G2" s="897"/>
      <c r="H2" s="898"/>
      <c r="I2" s="895"/>
      <c r="J2" s="895"/>
      <c r="K2" s="895"/>
      <c r="L2" s="895"/>
      <c r="M2" s="895"/>
      <c r="N2" s="895"/>
      <c r="O2" s="895"/>
      <c r="P2" s="895"/>
      <c r="Q2" s="895"/>
      <c r="R2" s="895"/>
      <c r="S2" s="899"/>
      <c r="T2" s="895"/>
      <c r="U2" s="894"/>
      <c r="V2" s="900"/>
      <c r="W2" s="901"/>
      <c r="X2" s="900"/>
      <c r="Y2" s="895"/>
      <c r="Z2" s="895"/>
      <c r="AA2" s="895"/>
      <c r="AB2" s="895"/>
    </row>
    <row r="3" spans="1:28" ht="15.75">
      <c r="A3" s="893"/>
      <c r="B3" s="894"/>
      <c r="C3" s="895"/>
      <c r="D3" s="895"/>
      <c r="E3" s="896"/>
      <c r="F3" s="699"/>
      <c r="G3" s="897"/>
      <c r="H3" s="898"/>
      <c r="I3" s="895"/>
      <c r="J3" s="895"/>
      <c r="K3" s="895"/>
      <c r="L3" s="895"/>
      <c r="M3" s="895"/>
      <c r="N3" s="895"/>
      <c r="O3" s="895"/>
      <c r="P3" s="895"/>
      <c r="Q3" s="895"/>
      <c r="R3" s="895"/>
      <c r="S3" s="899"/>
      <c r="T3" s="895"/>
      <c r="U3" s="894"/>
      <c r="V3" s="900"/>
      <c r="W3" s="901"/>
      <c r="X3" s="900"/>
      <c r="Y3" s="895"/>
      <c r="Z3" s="895"/>
      <c r="AA3" s="895"/>
      <c r="AB3" s="895"/>
    </row>
    <row r="4" spans="1:28" ht="11.25" customHeight="1">
      <c r="A4" s="893"/>
      <c r="B4" s="894"/>
      <c r="C4" s="895"/>
      <c r="D4" s="895"/>
      <c r="E4" s="897"/>
      <c r="F4" s="897"/>
      <c r="G4" s="897"/>
      <c r="H4" s="898"/>
      <c r="I4" s="895"/>
      <c r="J4" s="895"/>
      <c r="K4" s="895"/>
      <c r="L4" s="895"/>
      <c r="M4" s="895"/>
      <c r="N4" s="895"/>
      <c r="O4" s="895"/>
      <c r="P4" s="895"/>
      <c r="Q4" s="895"/>
      <c r="R4" s="895"/>
      <c r="S4" s="899"/>
      <c r="T4" s="895"/>
      <c r="U4" s="894"/>
      <c r="V4" s="900"/>
      <c r="W4" s="901"/>
      <c r="X4" s="900"/>
      <c r="Y4" s="895"/>
      <c r="Z4" s="895"/>
      <c r="AA4" s="895"/>
      <c r="AB4" s="895"/>
    </row>
    <row r="5" spans="1:28" ht="13.5" customHeight="1">
      <c r="A5" s="902">
        <v>11.01</v>
      </c>
      <c r="B5" s="613" t="s">
        <v>1779</v>
      </c>
      <c r="C5" s="449"/>
      <c r="D5" s="449"/>
      <c r="E5" s="449"/>
      <c r="F5" s="449"/>
      <c r="G5" s="449"/>
      <c r="H5" s="449"/>
      <c r="I5" s="452"/>
      <c r="J5" s="902">
        <f>A42+0.01</f>
        <v>11.079999999999998</v>
      </c>
      <c r="K5" s="2713" t="s">
        <v>1780</v>
      </c>
      <c r="L5" s="2713"/>
      <c r="M5" s="2713"/>
      <c r="N5" s="2713"/>
      <c r="O5" s="2713"/>
      <c r="P5" s="2713"/>
      <c r="Q5" s="2713"/>
      <c r="R5" s="2713"/>
      <c r="S5" s="902">
        <f>J40+0.01</f>
        <v>11.149999999999997</v>
      </c>
      <c r="T5" s="903" t="s">
        <v>1781</v>
      </c>
      <c r="U5" s="903"/>
      <c r="V5" s="903"/>
      <c r="W5" s="903"/>
      <c r="X5" s="903"/>
      <c r="Y5" s="903"/>
      <c r="Z5" s="903"/>
      <c r="AA5" s="794"/>
      <c r="AB5" s="41"/>
    </row>
    <row r="6" spans="1:28" ht="13.5" customHeight="1">
      <c r="A6" s="904"/>
      <c r="B6" s="479">
        <v>1</v>
      </c>
      <c r="C6" s="114"/>
      <c r="D6" s="269" t="s">
        <v>1782</v>
      </c>
      <c r="E6" s="269"/>
      <c r="F6" s="614"/>
      <c r="G6" s="479">
        <v>7</v>
      </c>
      <c r="H6" s="269" t="s">
        <v>1783</v>
      </c>
      <c r="I6" s="637"/>
      <c r="J6" s="688"/>
      <c r="K6" s="2238"/>
      <c r="L6" s="2238"/>
      <c r="M6" s="2238"/>
      <c r="N6" s="2238"/>
      <c r="O6" s="2238"/>
      <c r="P6" s="2238"/>
      <c r="Q6" s="2238"/>
      <c r="R6" s="2238"/>
      <c r="S6" s="904"/>
      <c r="T6" s="41" t="s">
        <v>1784</v>
      </c>
      <c r="U6" s="41"/>
      <c r="V6" s="41"/>
      <c r="W6" s="41"/>
      <c r="X6" s="41"/>
      <c r="Y6" s="41"/>
      <c r="Z6" s="41"/>
      <c r="AA6" s="83"/>
      <c r="AB6" s="41"/>
    </row>
    <row r="7" spans="1:28" ht="13.5" customHeight="1">
      <c r="A7" s="904"/>
      <c r="B7" s="479">
        <v>2</v>
      </c>
      <c r="C7" s="114"/>
      <c r="D7" s="269" t="s">
        <v>1785</v>
      </c>
      <c r="E7" s="269"/>
      <c r="F7" s="614"/>
      <c r="G7" s="479">
        <v>8</v>
      </c>
      <c r="H7" s="269" t="s">
        <v>1786</v>
      </c>
      <c r="I7" s="637"/>
      <c r="J7" s="905">
        <v>1</v>
      </c>
      <c r="K7" s="114" t="s">
        <v>1787</v>
      </c>
      <c r="L7" s="635"/>
      <c r="M7" s="635"/>
      <c r="N7" s="635"/>
      <c r="O7" s="625"/>
      <c r="P7" s="625"/>
      <c r="Q7" s="626"/>
      <c r="S7" s="904"/>
      <c r="T7" s="41">
        <v>1</v>
      </c>
      <c r="U7" s="41" t="s">
        <v>1332</v>
      </c>
      <c r="V7" s="41"/>
      <c r="W7" s="41">
        <v>2</v>
      </c>
      <c r="X7" s="41" t="str">
        <f>CONCATENATE("Não  ►(",S14,")")</f>
        <v>Não  ►(11,17)</v>
      </c>
      <c r="Y7" s="41"/>
      <c r="Z7" s="41"/>
      <c r="AA7" s="83"/>
      <c r="AB7" s="41"/>
    </row>
    <row r="8" spans="1:28" ht="12.75" customHeight="1">
      <c r="A8" s="904"/>
      <c r="B8" s="479">
        <v>3</v>
      </c>
      <c r="C8" s="114"/>
      <c r="D8" s="269" t="s">
        <v>1788</v>
      </c>
      <c r="E8" s="269"/>
      <c r="F8" s="614"/>
      <c r="G8" s="269"/>
      <c r="H8" s="114"/>
      <c r="I8" s="29"/>
      <c r="J8" s="905">
        <v>2</v>
      </c>
      <c r="K8" s="114" t="s">
        <v>1789</v>
      </c>
      <c r="L8" s="635"/>
      <c r="M8" s="635"/>
      <c r="N8" s="635"/>
      <c r="O8" s="625"/>
      <c r="P8" s="625"/>
      <c r="Q8" s="626"/>
      <c r="S8" s="902">
        <f>S5+0.01</f>
        <v>11.159999999999997</v>
      </c>
      <c r="T8" s="2713" t="s">
        <v>1790</v>
      </c>
      <c r="U8" s="2713"/>
      <c r="V8" s="2713"/>
      <c r="W8" s="2713"/>
      <c r="X8" s="2713"/>
      <c r="Y8" s="2713"/>
      <c r="Z8" s="2713"/>
      <c r="AA8" s="2714"/>
      <c r="AB8" s="41"/>
    </row>
    <row r="9" spans="1:28" ht="12.75" customHeight="1">
      <c r="A9" s="904"/>
      <c r="B9" s="479">
        <v>4</v>
      </c>
      <c r="C9" s="114"/>
      <c r="D9" s="269" t="s">
        <v>1791</v>
      </c>
      <c r="E9" s="269"/>
      <c r="F9" s="614"/>
      <c r="G9" s="269"/>
      <c r="H9" s="618"/>
      <c r="I9" s="29"/>
      <c r="J9" s="905">
        <v>3</v>
      </c>
      <c r="K9" s="114" t="s">
        <v>1792</v>
      </c>
      <c r="L9" s="635"/>
      <c r="M9" s="635"/>
      <c r="N9" s="635"/>
      <c r="O9" s="616">
        <v>5</v>
      </c>
      <c r="P9" s="114" t="s">
        <v>1793</v>
      </c>
      <c r="Q9" s="626"/>
      <c r="S9" s="688"/>
      <c r="T9" s="39"/>
      <c r="U9" s="39"/>
      <c r="V9" s="39"/>
      <c r="W9" s="39"/>
      <c r="X9" s="39"/>
      <c r="Y9" s="39"/>
      <c r="Z9" s="39"/>
      <c r="AA9" s="908"/>
      <c r="AB9" s="41"/>
    </row>
    <row r="10" spans="1:28" ht="14.25" customHeight="1">
      <c r="A10" s="904"/>
      <c r="B10" s="479">
        <v>5</v>
      </c>
      <c r="C10" s="114"/>
      <c r="D10" s="269" t="s">
        <v>1794</v>
      </c>
      <c r="E10" s="269"/>
      <c r="F10" s="614"/>
      <c r="G10" s="614"/>
      <c r="H10" s="618"/>
      <c r="I10" s="29"/>
      <c r="J10" s="909">
        <v>4</v>
      </c>
      <c r="K10" s="546" t="s">
        <v>1795</v>
      </c>
      <c r="L10" s="636"/>
      <c r="M10" s="636"/>
      <c r="N10" s="636"/>
      <c r="O10" s="619">
        <v>6</v>
      </c>
      <c r="P10" s="546" t="s">
        <v>1786</v>
      </c>
      <c r="Q10" s="627"/>
      <c r="S10" s="904"/>
      <c r="T10" s="41"/>
      <c r="U10" s="41"/>
      <c r="V10" s="41"/>
      <c r="W10" s="41"/>
      <c r="X10" s="41"/>
      <c r="Y10" s="41"/>
      <c r="Z10" s="41"/>
      <c r="AA10" s="83"/>
      <c r="AB10" s="41"/>
    </row>
    <row r="11" spans="1:28" ht="13.5" customHeight="1">
      <c r="A11" s="951"/>
      <c r="B11" s="1149">
        <v>6</v>
      </c>
      <c r="C11" s="636"/>
      <c r="D11" s="446" t="s">
        <v>1796</v>
      </c>
      <c r="E11" s="446"/>
      <c r="F11" s="630"/>
      <c r="G11" s="630"/>
      <c r="H11" s="631"/>
      <c r="I11" s="448"/>
      <c r="J11" s="902">
        <f>J5+0.01</f>
        <v>11.089999999999998</v>
      </c>
      <c r="K11" s="2713" t="s">
        <v>1797</v>
      </c>
      <c r="L11" s="2745"/>
      <c r="M11" s="2745"/>
      <c r="N11" s="2745"/>
      <c r="O11" s="2745"/>
      <c r="P11" s="2745"/>
      <c r="Q11" s="2745"/>
      <c r="R11" s="2745"/>
      <c r="S11" s="912"/>
      <c r="AA11" s="913"/>
      <c r="AB11" s="41"/>
    </row>
    <row r="12" spans="1:28" ht="12.75" customHeight="1">
      <c r="A12" s="902">
        <f>A5+0.01</f>
        <v>11.02</v>
      </c>
      <c r="B12" s="613" t="s">
        <v>1798</v>
      </c>
      <c r="C12" s="449"/>
      <c r="D12" s="449"/>
      <c r="E12" s="449"/>
      <c r="F12" s="449"/>
      <c r="G12" s="449"/>
      <c r="H12" s="449"/>
      <c r="I12" s="449"/>
      <c r="J12" s="904"/>
      <c r="K12" s="2715"/>
      <c r="L12" s="2715"/>
      <c r="M12" s="2715"/>
      <c r="N12" s="2715"/>
      <c r="O12" s="2715"/>
      <c r="P12" s="2715"/>
      <c r="Q12" s="2715"/>
      <c r="R12" s="2715"/>
      <c r="S12" s="915"/>
      <c r="T12" s="916"/>
      <c r="U12" s="917"/>
      <c r="V12" s="916"/>
      <c r="W12" s="916"/>
      <c r="X12" s="916"/>
      <c r="Y12" s="916"/>
      <c r="Z12" s="916"/>
      <c r="AA12" s="918"/>
      <c r="AB12" s="41"/>
    </row>
    <row r="13" spans="1:28" ht="12.75" customHeight="1">
      <c r="A13" s="688"/>
      <c r="B13" s="634"/>
      <c r="C13" s="614"/>
      <c r="D13" s="614"/>
      <c r="E13" s="614"/>
      <c r="F13" s="614"/>
      <c r="G13" s="614"/>
      <c r="H13" s="269"/>
      <c r="I13" s="269"/>
      <c r="J13" s="904"/>
      <c r="K13" s="2715"/>
      <c r="L13" s="2715"/>
      <c r="M13" s="2715"/>
      <c r="N13" s="2715"/>
      <c r="O13" s="2715"/>
      <c r="P13" s="2715"/>
      <c r="Q13" s="2715"/>
      <c r="R13" s="2746"/>
      <c r="AB13" s="41"/>
    </row>
    <row r="14" spans="1:28" ht="12.75" customHeight="1">
      <c r="A14" s="688"/>
      <c r="B14" s="2747" t="s">
        <v>1799</v>
      </c>
      <c r="C14" s="2747"/>
      <c r="D14" s="2747"/>
      <c r="E14" s="2747"/>
      <c r="F14" s="2747"/>
      <c r="G14" s="2747"/>
      <c r="H14" s="269"/>
      <c r="I14" s="269"/>
      <c r="J14" s="904"/>
      <c r="K14" s="2748"/>
      <c r="L14" s="2748"/>
      <c r="M14" s="41"/>
      <c r="N14" s="920"/>
      <c r="O14" s="41"/>
      <c r="P14" s="41"/>
      <c r="Q14" s="41"/>
      <c r="R14" s="83"/>
      <c r="S14" s="904">
        <f>S8+0.01</f>
        <v>11.169999999999996</v>
      </c>
      <c r="T14" s="2238" t="s">
        <v>1800</v>
      </c>
      <c r="U14" s="2238"/>
      <c r="V14" s="2238"/>
      <c r="W14" s="2238"/>
      <c r="X14" s="2238"/>
      <c r="Y14" s="2238"/>
      <c r="Z14" s="2238"/>
      <c r="AA14" s="2237"/>
      <c r="AB14" s="41"/>
    </row>
    <row r="15" spans="1:28" ht="12.75" customHeight="1">
      <c r="A15" s="904"/>
      <c r="B15" s="2747"/>
      <c r="C15" s="2747"/>
      <c r="D15" s="2747"/>
      <c r="E15" s="2747"/>
      <c r="F15" s="2747"/>
      <c r="G15" s="2747"/>
      <c r="H15" s="618"/>
      <c r="I15" s="269"/>
      <c r="J15" s="688"/>
      <c r="K15" s="2748"/>
      <c r="L15" s="2748"/>
      <c r="M15" s="41"/>
      <c r="N15" s="41"/>
      <c r="O15" s="41"/>
      <c r="P15" s="41"/>
      <c r="Q15" s="41"/>
      <c r="R15" s="41"/>
      <c r="S15" s="922"/>
      <c r="T15" s="2238"/>
      <c r="U15" s="2238"/>
      <c r="V15" s="2238"/>
      <c r="W15" s="2238"/>
      <c r="X15" s="2238"/>
      <c r="Y15" s="2238"/>
      <c r="Z15" s="2238"/>
      <c r="AA15" s="2237"/>
      <c r="AB15" s="41"/>
    </row>
    <row r="16" spans="1:28" ht="13.5" customHeight="1">
      <c r="A16" s="902">
        <f>A12+0.01</f>
        <v>11.03</v>
      </c>
      <c r="B16" s="613" t="s">
        <v>1801</v>
      </c>
      <c r="C16" s="449"/>
      <c r="D16" s="449"/>
      <c r="E16" s="449"/>
      <c r="F16" s="449"/>
      <c r="G16" s="449"/>
      <c r="H16" s="449"/>
      <c r="I16" s="452"/>
      <c r="J16" s="810"/>
      <c r="K16" s="810"/>
      <c r="L16" s="810"/>
      <c r="M16" s="911" t="s">
        <v>1802</v>
      </c>
      <c r="N16" s="924">
        <f>S14</f>
        <v>11.169999999999996</v>
      </c>
      <c r="O16" s="810"/>
      <c r="P16" s="810"/>
      <c r="Q16" s="810"/>
      <c r="R16" s="810"/>
      <c r="S16" s="922"/>
      <c r="T16" s="925"/>
      <c r="U16" s="926" t="s">
        <v>1803</v>
      </c>
      <c r="V16" s="907"/>
      <c r="W16" s="926" t="s">
        <v>267</v>
      </c>
      <c r="X16" s="925"/>
      <c r="Z16" s="925"/>
      <c r="AA16" s="927"/>
      <c r="AB16" s="41"/>
    </row>
    <row r="17" spans="1:28" ht="12.75" customHeight="1">
      <c r="A17" s="904"/>
      <c r="B17" s="618"/>
      <c r="C17" s="269" t="s">
        <v>1804</v>
      </c>
      <c r="D17" s="269"/>
      <c r="E17" s="269"/>
      <c r="F17" s="614"/>
      <c r="G17" s="614"/>
      <c r="H17" s="618"/>
      <c r="I17" s="29"/>
      <c r="J17" s="946">
        <f>J11+0.01</f>
        <v>11.099999999999998</v>
      </c>
      <c r="K17" s="2709" t="s">
        <v>1805</v>
      </c>
      <c r="L17" s="2709"/>
      <c r="M17" s="2709"/>
      <c r="N17" s="2709"/>
      <c r="O17" s="2709"/>
      <c r="P17" s="2709"/>
      <c r="Q17" s="2709"/>
      <c r="R17" s="2750"/>
      <c r="S17" s="928"/>
      <c r="T17" s="929"/>
      <c r="U17" s="930"/>
      <c r="V17" s="931"/>
      <c r="W17" s="931"/>
      <c r="X17" s="932"/>
      <c r="Y17" s="929"/>
      <c r="Z17" s="929"/>
      <c r="AA17" s="933"/>
      <c r="AB17" s="41"/>
    </row>
    <row r="18" spans="1:28" ht="12.75" customHeight="1">
      <c r="A18" s="865" t="s">
        <v>263</v>
      </c>
      <c r="B18" s="269" t="s">
        <v>1806</v>
      </c>
      <c r="C18" s="269"/>
      <c r="D18" s="269"/>
      <c r="E18" s="614"/>
      <c r="G18" s="614"/>
      <c r="H18" s="618"/>
      <c r="I18" s="29"/>
      <c r="K18" s="2711"/>
      <c r="L18" s="2711"/>
      <c r="M18" s="2711"/>
      <c r="N18" s="2711"/>
      <c r="O18" s="2711"/>
      <c r="P18" s="2711"/>
      <c r="Q18" s="2711"/>
      <c r="R18" s="2751"/>
      <c r="S18" s="902">
        <f>S14+0.01</f>
        <v>11.179999999999996</v>
      </c>
      <c r="T18" s="903" t="s">
        <v>1807</v>
      </c>
      <c r="U18" s="903"/>
      <c r="V18" s="903"/>
      <c r="W18" s="903"/>
      <c r="X18" s="903"/>
      <c r="Y18" s="903"/>
      <c r="Z18" s="903"/>
      <c r="AA18" s="794"/>
      <c r="AB18" s="41"/>
    </row>
    <row r="19" spans="1:28" ht="13.5" customHeight="1">
      <c r="A19" s="865" t="s">
        <v>126</v>
      </c>
      <c r="B19" s="269" t="s">
        <v>1808</v>
      </c>
      <c r="C19" s="269"/>
      <c r="D19" s="269"/>
      <c r="E19" s="269"/>
      <c r="G19" s="269"/>
      <c r="H19" s="269"/>
      <c r="I19" s="29"/>
      <c r="K19" s="2711"/>
      <c r="L19" s="2711"/>
      <c r="M19" s="2711"/>
      <c r="N19" s="2711"/>
      <c r="O19" s="2711"/>
      <c r="P19" s="2711"/>
      <c r="Q19" s="2711"/>
      <c r="R19" s="2751"/>
      <c r="S19" s="904"/>
      <c r="T19" s="41"/>
      <c r="U19" s="926"/>
      <c r="V19" s="41"/>
      <c r="W19" s="41"/>
      <c r="X19" s="41"/>
      <c r="Y19" s="41"/>
      <c r="Z19" s="41"/>
      <c r="AA19" s="83"/>
      <c r="AB19" s="41"/>
    </row>
    <row r="20" spans="1:28" ht="13.5" customHeight="1">
      <c r="A20" s="873" t="s">
        <v>148</v>
      </c>
      <c r="B20" s="446" t="s">
        <v>1809</v>
      </c>
      <c r="C20" s="446"/>
      <c r="D20" s="446"/>
      <c r="E20" s="446"/>
      <c r="G20" s="446"/>
      <c r="H20" s="446"/>
      <c r="I20" s="874"/>
      <c r="K20" s="127" t="s">
        <v>1810</v>
      </c>
      <c r="L20" s="811"/>
      <c r="M20" s="811"/>
      <c r="N20" s="811"/>
      <c r="S20" s="904"/>
      <c r="T20" s="937">
        <v>1</v>
      </c>
      <c r="U20" s="906" t="s">
        <v>1811</v>
      </c>
      <c r="V20" s="41"/>
      <c r="W20" s="41"/>
      <c r="X20" s="41"/>
      <c r="AB20" s="41"/>
    </row>
    <row r="21" spans="1:28" ht="13.5" customHeight="1">
      <c r="A21" s="904">
        <f>A16+0.01</f>
        <v>11.04</v>
      </c>
      <c r="B21" s="613" t="s">
        <v>1812</v>
      </c>
      <c r="C21" s="622"/>
      <c r="D21" s="449"/>
      <c r="E21" s="449"/>
      <c r="F21" s="623"/>
      <c r="G21" s="623"/>
      <c r="H21" s="603"/>
      <c r="I21" s="936"/>
      <c r="J21" s="939"/>
      <c r="K21" s="127" t="s">
        <v>1810</v>
      </c>
      <c r="L21" s="940"/>
      <c r="M21" s="940"/>
      <c r="N21" s="940"/>
      <c r="O21" s="916"/>
      <c r="P21" s="916"/>
      <c r="Q21" s="916"/>
      <c r="R21" s="918"/>
      <c r="S21" s="896"/>
      <c r="T21" s="937">
        <v>2</v>
      </c>
      <c r="U21" s="906" t="s">
        <v>1813</v>
      </c>
      <c r="V21" s="41"/>
      <c r="W21" s="41"/>
      <c r="Y21" s="41" t="s">
        <v>1814</v>
      </c>
      <c r="AB21" s="41"/>
    </row>
    <row r="22" spans="1:28" ht="13.5">
      <c r="A22" s="904"/>
      <c r="B22" s="526"/>
      <c r="C22" s="114"/>
      <c r="D22" s="269"/>
      <c r="E22" s="269"/>
      <c r="F22" s="614"/>
      <c r="G22" s="614"/>
      <c r="H22" s="617"/>
      <c r="I22" s="936"/>
      <c r="J22" s="904">
        <f>J17+0.01</f>
        <v>11.109999999999998</v>
      </c>
      <c r="K22" s="2471" t="s">
        <v>1815</v>
      </c>
      <c r="L22" s="2471"/>
      <c r="M22" s="2471"/>
      <c r="N22" s="2471"/>
      <c r="O22" s="2471"/>
      <c r="P22" s="2471"/>
      <c r="Q22" s="2471"/>
      <c r="R22" s="2472"/>
      <c r="S22" s="896"/>
      <c r="T22" s="937">
        <v>3</v>
      </c>
      <c r="U22" s="906" t="s">
        <v>1816</v>
      </c>
      <c r="V22" s="41"/>
      <c r="W22" s="41"/>
      <c r="Y22" s="941" t="s">
        <v>1817</v>
      </c>
      <c r="Z22" s="941"/>
      <c r="AA22" s="942"/>
      <c r="AB22" s="41"/>
    </row>
    <row r="23" spans="1:28" ht="13.5">
      <c r="A23" s="904"/>
      <c r="B23" s="479">
        <v>1</v>
      </c>
      <c r="C23" s="114" t="s">
        <v>1818</v>
      </c>
      <c r="D23" s="269"/>
      <c r="E23" s="269"/>
      <c r="F23" s="614"/>
      <c r="G23" s="614"/>
      <c r="H23" s="617"/>
      <c r="I23" s="943"/>
      <c r="J23" s="935"/>
      <c r="K23" s="2471"/>
      <c r="L23" s="2471"/>
      <c r="M23" s="2471"/>
      <c r="N23" s="2471"/>
      <c r="O23" s="2471"/>
      <c r="P23" s="2471"/>
      <c r="Q23" s="2471"/>
      <c r="R23" s="2472"/>
      <c r="S23" s="896"/>
      <c r="T23" s="937">
        <v>4</v>
      </c>
      <c r="U23" s="906" t="s">
        <v>1819</v>
      </c>
      <c r="W23" s="41"/>
      <c r="Y23" s="941" t="s">
        <v>1820</v>
      </c>
      <c r="AB23" s="41"/>
    </row>
    <row r="24" spans="1:28" ht="13.5">
      <c r="A24" s="904"/>
      <c r="B24" s="479">
        <v>2</v>
      </c>
      <c r="C24" s="114" t="s">
        <v>1821</v>
      </c>
      <c r="D24" s="269"/>
      <c r="E24" s="269"/>
      <c r="F24" s="614"/>
      <c r="G24" s="614"/>
      <c r="H24" s="617"/>
      <c r="I24" s="943"/>
      <c r="J24" s="935"/>
      <c r="M24" s="41" t="s">
        <v>106</v>
      </c>
      <c r="R24" s="913"/>
      <c r="S24" s="896"/>
      <c r="T24" s="937">
        <v>5</v>
      </c>
      <c r="U24" s="906" t="s">
        <v>1822</v>
      </c>
      <c r="V24" s="41"/>
      <c r="W24" s="41"/>
      <c r="X24" s="41"/>
      <c r="Y24" s="41"/>
      <c r="Z24" s="41" t="s">
        <v>1823</v>
      </c>
      <c r="AA24" s="906"/>
      <c r="AB24" s="41"/>
    </row>
    <row r="25" spans="1:28" ht="13.5">
      <c r="A25" s="904"/>
      <c r="B25" s="479">
        <v>3</v>
      </c>
      <c r="C25" s="114" t="s">
        <v>1824</v>
      </c>
      <c r="D25" s="269"/>
      <c r="E25" s="269"/>
      <c r="F25" s="614"/>
      <c r="G25" s="614"/>
      <c r="H25" s="617"/>
      <c r="I25" s="943"/>
      <c r="J25" s="935"/>
      <c r="M25" s="41" t="str">
        <f>CONCATENATE("2 Não ►(",TEXT(J40,"0,00"),")")</f>
        <v>2 Não ►(11,14)</v>
      </c>
      <c r="R25" s="913"/>
      <c r="S25" s="902">
        <f>S18+0.01</f>
        <v>11.189999999999996</v>
      </c>
      <c r="T25" s="903" t="s">
        <v>1825</v>
      </c>
      <c r="U25" s="903"/>
      <c r="V25" s="903"/>
      <c r="W25" s="903"/>
      <c r="X25" s="903"/>
      <c r="Y25" s="903"/>
      <c r="Z25" s="903"/>
      <c r="AA25" s="794"/>
      <c r="AB25" s="41"/>
    </row>
    <row r="26" spans="1:28" ht="13.5" customHeight="1">
      <c r="A26" s="904"/>
      <c r="B26" s="479">
        <v>4</v>
      </c>
      <c r="C26" s="114" t="s">
        <v>1826</v>
      </c>
      <c r="D26" s="269"/>
      <c r="E26" s="269"/>
      <c r="F26" s="614"/>
      <c r="G26" s="614"/>
      <c r="H26" s="617"/>
      <c r="I26" s="943"/>
      <c r="J26" s="902">
        <f>J22+0.01</f>
        <v>11.119999999999997</v>
      </c>
      <c r="K26" s="2722" t="s">
        <v>1827</v>
      </c>
      <c r="L26" s="2722"/>
      <c r="M26" s="2722"/>
      <c r="N26" s="2722"/>
      <c r="O26" s="2722"/>
      <c r="P26" s="2722"/>
      <c r="Q26" s="2722"/>
      <c r="R26" s="2723"/>
      <c r="S26" s="896"/>
      <c r="T26" s="41">
        <v>1</v>
      </c>
      <c r="U26" s="906" t="s">
        <v>1828</v>
      </c>
      <c r="V26" s="41"/>
      <c r="W26" s="41"/>
      <c r="X26" s="41">
        <v>7</v>
      </c>
      <c r="Y26" s="41" t="s">
        <v>1829</v>
      </c>
      <c r="Z26" s="41"/>
      <c r="AA26" s="83"/>
      <c r="AB26" s="41"/>
    </row>
    <row r="27" spans="1:28" ht="13.5">
      <c r="A27" s="904"/>
      <c r="B27" s="479">
        <v>5</v>
      </c>
      <c r="C27" s="114" t="s">
        <v>1830</v>
      </c>
      <c r="D27" s="269"/>
      <c r="E27" s="635" t="s">
        <v>1831</v>
      </c>
      <c r="F27" s="617">
        <f>A38</f>
        <v>11.059999999999999</v>
      </c>
      <c r="G27" s="614"/>
      <c r="H27" s="614"/>
      <c r="I27" s="921"/>
      <c r="J27" s="935"/>
      <c r="K27" s="2471"/>
      <c r="L27" s="2471"/>
      <c r="M27" s="2471"/>
      <c r="N27" s="2471"/>
      <c r="O27" s="2471"/>
      <c r="P27" s="2471"/>
      <c r="Q27" s="2471"/>
      <c r="R27" s="2472"/>
      <c r="S27" s="896"/>
      <c r="T27" s="41">
        <v>2</v>
      </c>
      <c r="U27" s="906" t="s">
        <v>1832</v>
      </c>
      <c r="V27" s="41"/>
      <c r="W27" s="41"/>
      <c r="X27" s="41">
        <v>8</v>
      </c>
      <c r="Y27" s="41" t="s">
        <v>1833</v>
      </c>
      <c r="AA27" s="83"/>
      <c r="AB27" s="41"/>
    </row>
    <row r="28" spans="1:28" ht="13.5" customHeight="1">
      <c r="A28" s="904"/>
      <c r="B28" s="479">
        <v>6</v>
      </c>
      <c r="C28" s="114" t="s">
        <v>1834</v>
      </c>
      <c r="D28" s="269"/>
      <c r="E28" s="269"/>
      <c r="F28" s="614"/>
      <c r="G28" s="614"/>
      <c r="H28" s="617"/>
      <c r="I28" s="943"/>
      <c r="J28" s="935"/>
      <c r="M28" s="526" t="s">
        <v>1835</v>
      </c>
      <c r="N28" s="635"/>
      <c r="R28" s="913"/>
      <c r="S28" s="896"/>
      <c r="T28" s="41">
        <v>3</v>
      </c>
      <c r="U28" s="906" t="s">
        <v>1836</v>
      </c>
      <c r="V28" s="41"/>
      <c r="W28" s="41"/>
      <c r="Z28" s="41"/>
      <c r="AA28" s="83"/>
      <c r="AB28" s="41"/>
    </row>
    <row r="29" spans="1:28" ht="13.5">
      <c r="A29" s="688"/>
      <c r="B29" s="479">
        <v>7</v>
      </c>
      <c r="C29" s="114" t="s">
        <v>1837</v>
      </c>
      <c r="D29" s="269"/>
      <c r="E29" s="269"/>
      <c r="F29" s="614"/>
      <c r="G29" s="614"/>
      <c r="H29" s="617"/>
      <c r="I29" s="943"/>
      <c r="J29" s="935"/>
      <c r="M29" s="526" t="s">
        <v>1838</v>
      </c>
      <c r="N29" s="635"/>
      <c r="R29" s="913"/>
      <c r="S29" s="896"/>
      <c r="T29" s="41">
        <v>4</v>
      </c>
      <c r="U29" s="41" t="s">
        <v>1829</v>
      </c>
      <c r="V29" s="41"/>
      <c r="X29" s="41"/>
      <c r="Y29" s="41"/>
      <c r="Z29" s="41"/>
      <c r="AA29" s="83"/>
      <c r="AB29" s="41"/>
    </row>
    <row r="30" spans="1:28" ht="13.5">
      <c r="A30" s="688"/>
      <c r="B30" s="479">
        <v>8</v>
      </c>
      <c r="C30" s="269" t="s">
        <v>1786</v>
      </c>
      <c r="D30" s="269"/>
      <c r="E30" s="269"/>
      <c r="F30" s="269"/>
      <c r="G30" s="269"/>
      <c r="H30" s="617"/>
      <c r="I30" s="943"/>
      <c r="J30" s="935"/>
      <c r="M30" s="526" t="s">
        <v>1839</v>
      </c>
      <c r="N30" s="635"/>
      <c r="R30" s="913"/>
      <c r="S30" s="896"/>
      <c r="T30" s="41">
        <v>5</v>
      </c>
      <c r="U30" s="906" t="s">
        <v>1840</v>
      </c>
      <c r="V30" s="41"/>
      <c r="W30" s="41"/>
      <c r="X30" s="41"/>
      <c r="Y30" s="41"/>
      <c r="Z30" s="41"/>
      <c r="AA30" s="83"/>
      <c r="AB30" s="41"/>
    </row>
    <row r="31" spans="1:28" ht="12.95" customHeight="1">
      <c r="A31" s="902">
        <f>A21+0.01</f>
        <v>11.049999999999999</v>
      </c>
      <c r="B31" s="2722" t="s">
        <v>1841</v>
      </c>
      <c r="C31" s="2722"/>
      <c r="D31" s="2722"/>
      <c r="E31" s="2722"/>
      <c r="F31" s="2722"/>
      <c r="G31" s="2722"/>
      <c r="H31" s="2722"/>
      <c r="I31" s="944"/>
      <c r="J31" s="935"/>
      <c r="M31" s="907" t="s">
        <v>1802</v>
      </c>
      <c r="N31" s="936">
        <f>J40</f>
        <v>11.139999999999997</v>
      </c>
      <c r="R31" s="913"/>
      <c r="S31" s="945"/>
      <c r="T31" s="810">
        <v>6</v>
      </c>
      <c r="U31" s="910" t="s">
        <v>1842</v>
      </c>
      <c r="V31" s="810"/>
      <c r="W31" s="810"/>
      <c r="X31" s="810"/>
      <c r="Y31" s="810"/>
      <c r="Z31" s="810"/>
      <c r="AA31" s="809"/>
      <c r="AB31" s="41"/>
    </row>
    <row r="32" spans="1:28" ht="13.5">
      <c r="A32" s="912"/>
      <c r="B32" s="2471"/>
      <c r="C32" s="2471"/>
      <c r="D32" s="2471"/>
      <c r="E32" s="2471"/>
      <c r="F32" s="2471"/>
      <c r="G32" s="2471"/>
      <c r="H32" s="2471"/>
      <c r="I32" s="913"/>
      <c r="J32" s="902">
        <f>J26+0.01</f>
        <v>11.129999999999997</v>
      </c>
      <c r="K32" s="2722" t="s">
        <v>1843</v>
      </c>
      <c r="L32" s="2722"/>
      <c r="M32" s="2722"/>
      <c r="N32" s="2722"/>
      <c r="O32" s="2722"/>
      <c r="P32" s="2722"/>
      <c r="Q32" s="2722"/>
      <c r="R32" s="2723"/>
      <c r="S32" s="946">
        <f>S25+0.01</f>
        <v>11.199999999999996</v>
      </c>
      <c r="T32" s="2713" t="s">
        <v>1844</v>
      </c>
      <c r="U32" s="2713"/>
      <c r="V32" s="2713"/>
      <c r="W32" s="2713"/>
      <c r="X32" s="2713"/>
      <c r="Y32" s="2713"/>
      <c r="Z32" s="2713"/>
      <c r="AA32" s="2714"/>
      <c r="AB32" s="41"/>
    </row>
    <row r="33" spans="1:28" ht="13.5">
      <c r="J33" s="935"/>
      <c r="K33" s="2471"/>
      <c r="L33" s="2471"/>
      <c r="M33" s="2471"/>
      <c r="N33" s="2471"/>
      <c r="O33" s="2471"/>
      <c r="P33" s="2471"/>
      <c r="Q33" s="2471"/>
      <c r="R33" s="2472"/>
      <c r="S33" s="896"/>
      <c r="T33" s="2238"/>
      <c r="U33" s="2238"/>
      <c r="V33" s="2238"/>
      <c r="W33" s="2238"/>
      <c r="X33" s="2238"/>
      <c r="Y33" s="2238"/>
      <c r="Z33" s="2238"/>
      <c r="AA33" s="2237"/>
      <c r="AB33" s="41"/>
    </row>
    <row r="34" spans="1:28" ht="13.5">
      <c r="J34" s="935"/>
      <c r="K34" s="926">
        <v>1</v>
      </c>
      <c r="L34" s="269" t="s">
        <v>1845</v>
      </c>
      <c r="R34" s="913"/>
      <c r="S34" s="896"/>
      <c r="T34" s="926">
        <v>1</v>
      </c>
      <c r="U34" s="906" t="s">
        <v>1846</v>
      </c>
      <c r="V34" s="41"/>
      <c r="W34" s="41"/>
      <c r="X34" s="907">
        <v>5</v>
      </c>
      <c r="Y34" s="906" t="s">
        <v>1833</v>
      </c>
      <c r="Z34" s="41"/>
      <c r="AA34" s="83"/>
      <c r="AB34" s="41"/>
    </row>
    <row r="35" spans="1:28" ht="13.5">
      <c r="A35" s="912"/>
      <c r="I35" s="913"/>
      <c r="J35" s="935"/>
      <c r="K35" s="926">
        <v>2</v>
      </c>
      <c r="L35" s="605" t="s">
        <v>1847</v>
      </c>
      <c r="Q35" s="926"/>
      <c r="R35" s="913"/>
      <c r="S35" s="936"/>
      <c r="T35" s="926">
        <v>2</v>
      </c>
      <c r="U35" s="906" t="s">
        <v>1848</v>
      </c>
      <c r="V35" s="41"/>
      <c r="W35" s="41"/>
      <c r="X35" s="41"/>
      <c r="Y35" s="41"/>
      <c r="Z35" s="41"/>
      <c r="AA35" s="83"/>
      <c r="AB35" s="41"/>
    </row>
    <row r="36" spans="1:28" ht="12.95" customHeight="1">
      <c r="A36" s="2743" t="str">
        <f>CONCATENATE(" Se 1,3 à (",TEXT(A21,"0,00"),") ►►(",TEXT(J17,"0,00"),")")</f>
        <v xml:space="preserve"> Se 1,3 à (11,04) ►►(11,10)</v>
      </c>
      <c r="B36" s="2743"/>
      <c r="C36" s="2743"/>
      <c r="E36" s="2743" t="str">
        <f>CONCATENATE(" Se 2,4 à (",TEXT(A21,"0,00"),") ►►(",TEXT(J32,"0,00"),")")</f>
        <v xml:space="preserve"> Se 2,4 à (11,04) ►►(11,13)</v>
      </c>
      <c r="F36" s="2743"/>
      <c r="G36" s="947"/>
      <c r="H36" s="2743" t="str">
        <f>CONCATENATE(" Se 6,7, ou 8 à (",TEXT(A21,"0,00"),") ►►(",TEXT(S14,"0,00"),")")</f>
        <v xml:space="preserve"> Se 6,7, ou 8 à (11,04) ►►(11,17)</v>
      </c>
      <c r="I36" s="2743"/>
      <c r="J36" s="935"/>
      <c r="K36" s="926">
        <v>3</v>
      </c>
      <c r="L36" s="605" t="s">
        <v>1849</v>
      </c>
      <c r="R36" s="913"/>
      <c r="S36" s="936"/>
      <c r="T36" s="926">
        <v>3</v>
      </c>
      <c r="U36" s="906" t="s">
        <v>1850</v>
      </c>
      <c r="V36" s="41"/>
      <c r="W36" s="41"/>
      <c r="X36" s="41"/>
      <c r="Y36" s="41"/>
      <c r="Z36" s="41"/>
      <c r="AA36" s="83"/>
      <c r="AB36" s="41"/>
    </row>
    <row r="37" spans="1:28" ht="26.25" customHeight="1">
      <c r="A37" s="2744"/>
      <c r="B37" s="2744"/>
      <c r="C37" s="2744"/>
      <c r="D37" s="916"/>
      <c r="E37" s="2744"/>
      <c r="F37" s="2744"/>
      <c r="G37" s="948"/>
      <c r="H37" s="2744"/>
      <c r="I37" s="2744"/>
      <c r="J37" s="935"/>
      <c r="K37" s="926">
        <v>4</v>
      </c>
      <c r="L37" s="605" t="s">
        <v>1851</v>
      </c>
      <c r="R37" s="913"/>
      <c r="S37" s="896"/>
      <c r="T37" s="926">
        <v>4</v>
      </c>
      <c r="U37" s="906" t="s">
        <v>1852</v>
      </c>
      <c r="V37" s="41"/>
      <c r="W37" s="41"/>
      <c r="X37" s="41"/>
      <c r="Y37" s="41"/>
      <c r="Z37" s="41"/>
      <c r="AA37" s="83"/>
      <c r="AB37" s="41"/>
    </row>
    <row r="38" spans="1:28" ht="13.5">
      <c r="A38" s="902">
        <f>A31+0.01</f>
        <v>11.059999999999999</v>
      </c>
      <c r="B38" s="2749" t="s">
        <v>1853</v>
      </c>
      <c r="C38" s="2749"/>
      <c r="D38" s="2749"/>
      <c r="E38" s="2749"/>
      <c r="F38" s="2749"/>
      <c r="G38" s="2749"/>
      <c r="H38" s="2749"/>
      <c r="I38" s="2749"/>
      <c r="J38" s="935"/>
      <c r="K38" s="926">
        <v>5</v>
      </c>
      <c r="L38" s="24" t="s">
        <v>1854</v>
      </c>
      <c r="R38" s="913"/>
      <c r="S38" s="946">
        <f>S32+0.01</f>
        <v>11.209999999999996</v>
      </c>
      <c r="T38" s="938" t="s">
        <v>1855</v>
      </c>
      <c r="U38" s="946"/>
      <c r="V38" s="946"/>
      <c r="W38" s="946"/>
      <c r="X38" s="946"/>
      <c r="Y38" s="946"/>
      <c r="Z38" s="946"/>
      <c r="AA38" s="949"/>
      <c r="AB38" s="41"/>
    </row>
    <row r="39" spans="1:28" ht="13.5" customHeight="1">
      <c r="A39" s="688"/>
      <c r="B39" s="2186"/>
      <c r="C39" s="2186"/>
      <c r="D39" s="2186"/>
      <c r="E39" s="2186"/>
      <c r="F39" s="2186"/>
      <c r="G39" s="2186"/>
      <c r="H39" s="2186"/>
      <c r="I39" s="2186"/>
      <c r="J39" s="935"/>
      <c r="K39" s="926">
        <v>6</v>
      </c>
      <c r="L39" s="1150" t="s">
        <v>1856</v>
      </c>
      <c r="R39" s="913"/>
      <c r="S39" s="896"/>
      <c r="T39" s="41" t="s">
        <v>1857</v>
      </c>
      <c r="U39" s="41"/>
      <c r="V39" s="41"/>
      <c r="W39" s="41"/>
      <c r="X39" s="41"/>
      <c r="Y39" s="41"/>
      <c r="Z39" s="41"/>
      <c r="AA39" s="83"/>
      <c r="AB39" s="41"/>
    </row>
    <row r="40" spans="1:28" ht="13.5" customHeight="1">
      <c r="A40" s="904"/>
      <c r="B40" s="39"/>
      <c r="C40" s="950"/>
      <c r="D40" s="950"/>
      <c r="E40" s="950"/>
      <c r="F40" s="950"/>
      <c r="G40" s="950"/>
      <c r="H40" s="950"/>
      <c r="I40" s="950"/>
      <c r="J40" s="875">
        <f>J32+0.01</f>
        <v>11.139999999999997</v>
      </c>
      <c r="K40" s="876" t="s">
        <v>1858</v>
      </c>
      <c r="L40" s="877"/>
      <c r="M40" s="877"/>
      <c r="N40" s="877"/>
      <c r="O40" s="877"/>
      <c r="P40" s="877"/>
      <c r="Q40" s="877"/>
      <c r="R40" s="878"/>
      <c r="S40" s="896"/>
      <c r="T40" s="41" t="s">
        <v>1859</v>
      </c>
      <c r="U40" s="41"/>
      <c r="V40" s="41"/>
      <c r="W40" s="907" t="str">
        <f>CONCATENATE("► (",A57,")")</f>
        <v>► (11,24)</v>
      </c>
      <c r="X40" s="41"/>
      <c r="Y40" s="936"/>
      <c r="Z40" s="41"/>
      <c r="AA40" s="83"/>
      <c r="AB40" s="41"/>
    </row>
    <row r="41" spans="1:28" ht="13.5">
      <c r="A41" s="951"/>
      <c r="B41" s="952"/>
      <c r="C41" s="952"/>
      <c r="D41" s="952"/>
      <c r="E41" s="952"/>
      <c r="F41" s="952"/>
      <c r="G41" s="952"/>
      <c r="H41" s="952"/>
      <c r="I41" s="952"/>
      <c r="J41" s="879"/>
      <c r="K41" s="811">
        <v>1</v>
      </c>
      <c r="L41" s="880" t="s">
        <v>1860</v>
      </c>
      <c r="R41" s="882"/>
      <c r="S41" s="946">
        <f>S38+0.01</f>
        <v>11.219999999999995</v>
      </c>
      <c r="T41" s="2713" t="s">
        <v>1861</v>
      </c>
      <c r="U41" s="2713"/>
      <c r="V41" s="2713"/>
      <c r="W41" s="2713"/>
      <c r="X41" s="2713"/>
      <c r="Y41" s="2713"/>
      <c r="Z41" s="2713"/>
      <c r="AA41" s="2714"/>
      <c r="AB41" s="41"/>
    </row>
    <row r="42" spans="1:28" ht="13.5" customHeight="1">
      <c r="A42" s="902">
        <f>+A38+0.01</f>
        <v>11.069999999999999</v>
      </c>
      <c r="B42" s="2722" t="s">
        <v>1862</v>
      </c>
      <c r="C42" s="2722"/>
      <c r="D42" s="2722"/>
      <c r="E42" s="2722"/>
      <c r="F42" s="2722"/>
      <c r="G42" s="2722"/>
      <c r="H42" s="2722"/>
      <c r="I42" s="2722"/>
      <c r="J42" s="879"/>
      <c r="K42" s="811">
        <v>2</v>
      </c>
      <c r="L42" s="880" t="s">
        <v>1863</v>
      </c>
      <c r="R42" s="882"/>
      <c r="S42" s="41"/>
      <c r="T42" s="2238"/>
      <c r="U42" s="2238"/>
      <c r="V42" s="2238"/>
      <c r="W42" s="2238"/>
      <c r="X42" s="2238"/>
      <c r="Y42" s="2238"/>
      <c r="Z42" s="2238"/>
      <c r="AA42" s="2237"/>
      <c r="AB42" s="41"/>
    </row>
    <row r="43" spans="1:28" ht="13.5">
      <c r="A43" s="688"/>
      <c r="B43" s="2471"/>
      <c r="C43" s="2471"/>
      <c r="D43" s="2471"/>
      <c r="E43" s="2471"/>
      <c r="F43" s="2471"/>
      <c r="G43" s="2471"/>
      <c r="H43" s="2471"/>
      <c r="I43" s="2471"/>
      <c r="J43" s="879"/>
      <c r="K43" s="811">
        <v>3</v>
      </c>
      <c r="L43" s="880" t="s">
        <v>1864</v>
      </c>
      <c r="R43" s="882"/>
      <c r="S43" s="896"/>
      <c r="T43" s="953"/>
      <c r="U43" s="41">
        <v>1</v>
      </c>
      <c r="V43" s="41" t="str">
        <f>CONCATENATE("Sim  ► (",A57,")")</f>
        <v>Sim  ► (11,24)</v>
      </c>
      <c r="W43" s="41"/>
      <c r="X43" s="907"/>
      <c r="Y43" s="936"/>
      <c r="Z43" s="953"/>
      <c r="AA43" s="954"/>
      <c r="AB43" s="41"/>
    </row>
    <row r="44" spans="1:28" ht="13.5">
      <c r="A44" s="904"/>
      <c r="B44" s="921"/>
      <c r="C44" s="41"/>
      <c r="D44" s="41" t="s">
        <v>1857</v>
      </c>
      <c r="E44" s="41"/>
      <c r="F44" s="41"/>
      <c r="G44" s="41"/>
      <c r="H44" s="41"/>
      <c r="I44" s="41"/>
      <c r="J44" s="879"/>
      <c r="K44" s="811">
        <v>4</v>
      </c>
      <c r="L44" s="880" t="s">
        <v>1865</v>
      </c>
      <c r="R44" s="882"/>
      <c r="S44" s="41"/>
      <c r="T44" s="41"/>
      <c r="U44" s="41">
        <v>2</v>
      </c>
      <c r="V44" s="41" t="s">
        <v>1333</v>
      </c>
      <c r="W44" s="41"/>
      <c r="X44" s="41"/>
      <c r="Y44" s="41"/>
      <c r="Z44" s="41"/>
      <c r="AA44" s="83"/>
      <c r="AB44" s="41"/>
    </row>
    <row r="45" spans="1:28" ht="13.5">
      <c r="A45" s="951"/>
      <c r="B45" s="963"/>
      <c r="C45" s="910"/>
      <c r="D45" s="810" t="s">
        <v>1859</v>
      </c>
      <c r="E45" s="955" t="s">
        <v>1831</v>
      </c>
      <c r="F45" s="924">
        <f>S14</f>
        <v>11.169999999999996</v>
      </c>
      <c r="G45" s="810"/>
      <c r="H45" s="810"/>
      <c r="I45" s="810"/>
      <c r="J45" s="883"/>
      <c r="K45" s="884">
        <v>5</v>
      </c>
      <c r="L45" s="885" t="s">
        <v>1866</v>
      </c>
      <c r="M45" s="886"/>
      <c r="N45" s="886"/>
      <c r="O45" s="886"/>
      <c r="P45" s="886"/>
      <c r="Q45" s="886"/>
      <c r="R45" s="887"/>
      <c r="S45" s="810"/>
      <c r="T45" s="810"/>
      <c r="U45" s="810"/>
      <c r="V45" s="810"/>
      <c r="W45" s="810"/>
      <c r="X45" s="810"/>
      <c r="Y45" s="810"/>
      <c r="Z45" s="810"/>
      <c r="AA45" s="809"/>
      <c r="AB45" s="41"/>
    </row>
    <row r="46" spans="1:28" ht="13.5">
      <c r="A46" s="810"/>
      <c r="B46" s="810"/>
      <c r="C46" s="810"/>
      <c r="D46" s="810"/>
      <c r="E46" s="810"/>
      <c r="F46" s="810"/>
      <c r="G46" s="810"/>
      <c r="H46" s="810"/>
      <c r="I46" s="810"/>
      <c r="J46" s="41"/>
      <c r="K46" s="957"/>
      <c r="L46" s="906"/>
      <c r="M46" s="41"/>
      <c r="N46" s="41"/>
      <c r="O46" s="41"/>
      <c r="P46" s="41"/>
      <c r="Q46" s="41"/>
      <c r="R46" s="41"/>
      <c r="S46" s="958"/>
      <c r="T46" s="810"/>
      <c r="U46" s="687"/>
      <c r="V46" s="687"/>
      <c r="W46" s="687"/>
      <c r="X46" s="687"/>
      <c r="Y46" s="687"/>
      <c r="Z46" s="687"/>
      <c r="AA46" s="916"/>
      <c r="AB46" s="41"/>
    </row>
    <row r="47" spans="1:28" ht="13.5" customHeight="1">
      <c r="A47" s="904">
        <f>S41+0.01</f>
        <v>11.229999999999995</v>
      </c>
      <c r="B47" s="41" t="s">
        <v>1867</v>
      </c>
      <c r="C47" s="41"/>
      <c r="D47" s="41"/>
      <c r="E47" s="41"/>
      <c r="F47" s="41"/>
      <c r="G47" s="41"/>
      <c r="H47" s="41"/>
      <c r="I47" s="913"/>
      <c r="J47" s="1419" t="str">
        <f>CONCATENATE(A66, "a")</f>
        <v>11,26a</v>
      </c>
      <c r="K47" s="1151" t="s">
        <v>1868</v>
      </c>
      <c r="L47" s="877"/>
      <c r="M47" s="877"/>
      <c r="N47" s="877"/>
      <c r="O47" s="1152"/>
      <c r="P47" s="1152"/>
      <c r="Q47" s="1153"/>
      <c r="R47" s="878"/>
      <c r="S47" s="959">
        <f>J81+0.01</f>
        <v>11.329999999999993</v>
      </c>
      <c r="T47" s="2238" t="s">
        <v>1869</v>
      </c>
      <c r="U47" s="2238"/>
      <c r="V47" s="2238"/>
      <c r="W47" s="2238"/>
      <c r="X47" s="2238"/>
      <c r="Y47" s="2238"/>
      <c r="Z47" s="2238"/>
      <c r="AA47" s="2237"/>
      <c r="AB47" s="41"/>
    </row>
    <row r="48" spans="1:28" ht="13.5" customHeight="1">
      <c r="A48" s="688"/>
      <c r="B48" s="41"/>
      <c r="C48" s="41"/>
      <c r="D48" s="41"/>
      <c r="E48" s="41"/>
      <c r="F48" s="41"/>
      <c r="G48" s="41"/>
      <c r="H48" s="41"/>
      <c r="I48" s="913"/>
      <c r="J48" s="992"/>
      <c r="K48" s="906" t="s">
        <v>106</v>
      </c>
      <c r="O48" s="13"/>
      <c r="P48" s="13"/>
      <c r="Q48" s="890"/>
      <c r="R48" s="882"/>
      <c r="S48" s="960"/>
      <c r="T48" s="41" t="s">
        <v>1870</v>
      </c>
      <c r="U48" s="41"/>
      <c r="V48" s="41"/>
      <c r="W48" s="936"/>
      <c r="X48" s="41"/>
      <c r="Y48" s="961"/>
      <c r="Z48" s="961"/>
      <c r="AA48" s="962"/>
      <c r="AB48" s="41"/>
    </row>
    <row r="49" spans="1:28" ht="13.5">
      <c r="A49" s="688"/>
      <c r="B49" s="41"/>
      <c r="C49" s="41"/>
      <c r="D49" s="41"/>
      <c r="E49" s="41"/>
      <c r="F49" s="41"/>
      <c r="G49" s="41"/>
      <c r="H49" s="41"/>
      <c r="I49" s="913"/>
      <c r="J49" s="992"/>
      <c r="K49" s="906" t="s">
        <v>267</v>
      </c>
      <c r="O49" s="13"/>
      <c r="P49" s="13"/>
      <c r="Q49" s="890"/>
      <c r="R49" s="882"/>
      <c r="S49" s="960"/>
      <c r="T49" s="41" t="s">
        <v>1871</v>
      </c>
      <c r="U49" s="41"/>
      <c r="V49" s="907"/>
      <c r="W49" s="41"/>
      <c r="X49" s="41"/>
      <c r="Y49" s="936"/>
      <c r="Z49" s="41"/>
      <c r="AA49" s="83"/>
      <c r="AB49" s="41"/>
    </row>
    <row r="50" spans="1:28" ht="13.5" customHeight="1">
      <c r="A50" s="688"/>
      <c r="B50" s="41"/>
      <c r="C50" s="41"/>
      <c r="D50" s="41"/>
      <c r="E50" s="41"/>
      <c r="F50" s="41"/>
      <c r="G50" s="41"/>
      <c r="H50" s="41"/>
      <c r="I50" s="908"/>
      <c r="J50" s="902">
        <f>A66+0.01</f>
        <v>11.269999999999994</v>
      </c>
      <c r="K50" s="2740" t="s">
        <v>1872</v>
      </c>
      <c r="L50" s="2740"/>
      <c r="M50" s="2740"/>
      <c r="N50" s="2740"/>
      <c r="O50" s="2740"/>
      <c r="P50" s="2740"/>
      <c r="Q50" s="2740"/>
      <c r="R50" s="2741"/>
      <c r="S50" s="960"/>
      <c r="T50" s="926" t="str">
        <f>CONCATENATE("3 Ligado diretamente ao poste ►(",TEXT(ROUND(S62,2),"0,00"),")")</f>
        <v>3 Ligado diretamente ao poste ►(11,36)</v>
      </c>
      <c r="U50" s="41"/>
      <c r="V50" s="907"/>
      <c r="W50" s="41"/>
      <c r="X50" s="41"/>
      <c r="Y50" s="936"/>
      <c r="Z50" s="41"/>
      <c r="AA50" s="83"/>
      <c r="AB50" s="41"/>
    </row>
    <row r="51" spans="1:28" ht="13.5" customHeight="1">
      <c r="A51" s="688"/>
      <c r="B51" s="921" t="s">
        <v>1873</v>
      </c>
      <c r="C51" s="934"/>
      <c r="D51" s="919"/>
      <c r="E51" s="41"/>
      <c r="F51" s="41"/>
      <c r="G51" s="41"/>
      <c r="H51" s="41"/>
      <c r="I51" s="913"/>
      <c r="J51" s="951"/>
      <c r="K51" s="2180"/>
      <c r="L51" s="2180"/>
      <c r="M51" s="2180"/>
      <c r="N51" s="2180"/>
      <c r="O51" s="2180"/>
      <c r="P51" s="2180"/>
      <c r="Q51" s="2180"/>
      <c r="R51" s="2742"/>
      <c r="S51" s="810"/>
      <c r="T51" s="2739" t="str">
        <f>CONCATENATE("4  Não, Agregado não ligado ►(",TEXT(ROUND(S70,2),"0,00"),")")</f>
        <v>4  Não, Agregado não ligado ►(11,37)</v>
      </c>
      <c r="U51" s="2739"/>
      <c r="V51" s="2739"/>
      <c r="W51" s="2739"/>
      <c r="X51" s="2739"/>
      <c r="Y51" s="2739"/>
      <c r="Z51" s="2739"/>
      <c r="AA51" s="809"/>
      <c r="AB51" s="41"/>
    </row>
    <row r="52" spans="1:28" ht="13.5" customHeight="1">
      <c r="A52" s="912"/>
      <c r="B52" s="41" t="s">
        <v>1874</v>
      </c>
      <c r="C52" s="889"/>
      <c r="F52" s="881"/>
      <c r="G52" s="881"/>
      <c r="H52" s="881"/>
      <c r="I52" s="913"/>
      <c r="J52" s="912"/>
      <c r="K52" s="2740"/>
      <c r="L52" s="2740"/>
      <c r="M52" s="2740"/>
      <c r="N52" s="2740"/>
      <c r="O52" s="2740"/>
      <c r="P52" s="2740"/>
      <c r="Q52" s="2740"/>
      <c r="R52" s="2741"/>
      <c r="S52" s="964">
        <f>S47+0.01</f>
        <v>11.339999999999993</v>
      </c>
      <c r="T52" s="2713" t="s">
        <v>1875</v>
      </c>
      <c r="U52" s="2713"/>
      <c r="V52" s="2713"/>
      <c r="W52" s="2713"/>
      <c r="X52" s="2713"/>
      <c r="Y52" s="2713"/>
      <c r="Z52" s="2713"/>
      <c r="AA52" s="2714"/>
      <c r="AB52" s="41"/>
    </row>
    <row r="53" spans="1:28" ht="13.5" customHeight="1">
      <c r="A53" s="912"/>
      <c r="B53" s="41" t="s">
        <v>1876</v>
      </c>
      <c r="C53" s="889"/>
      <c r="F53" s="881"/>
      <c r="G53" s="881"/>
      <c r="H53" s="881"/>
      <c r="I53" s="913"/>
      <c r="J53" s="2461" t="str">
        <f>CONCATENATE("Se a fonte estiver no agregado, escreva 0 ► (",TEXT(ROUND(J64,2),"0,00"),")")</f>
        <v>Se a fonte estiver no agregado, escreva 0 ► (11,29)</v>
      </c>
      <c r="K53" s="2462"/>
      <c r="L53" s="2462"/>
      <c r="M53" s="2462"/>
      <c r="N53" s="2462"/>
      <c r="O53" s="39"/>
      <c r="P53" s="39"/>
      <c r="Q53" s="39"/>
      <c r="R53" s="908"/>
      <c r="S53" s="41"/>
      <c r="T53" s="2238"/>
      <c r="U53" s="2238"/>
      <c r="V53" s="2238"/>
      <c r="W53" s="2238"/>
      <c r="X53" s="2238"/>
      <c r="Y53" s="2238"/>
      <c r="Z53" s="2238"/>
      <c r="AA53" s="2237"/>
      <c r="AB53" s="41"/>
    </row>
    <row r="54" spans="1:28" ht="13.5" customHeight="1">
      <c r="A54" s="912"/>
      <c r="B54" s="41" t="s">
        <v>1877</v>
      </c>
      <c r="C54" s="889"/>
      <c r="F54" s="881"/>
      <c r="G54" s="881"/>
      <c r="H54" s="881"/>
      <c r="I54" s="913"/>
      <c r="J54" s="2461"/>
      <c r="K54" s="2462"/>
      <c r="L54" s="2462"/>
      <c r="M54" s="2462"/>
      <c r="N54" s="2462"/>
      <c r="O54" s="41"/>
      <c r="P54" s="41"/>
      <c r="Q54" s="41"/>
      <c r="R54" s="83"/>
      <c r="S54" s="896"/>
      <c r="T54" s="953"/>
      <c r="U54" s="41">
        <v>1</v>
      </c>
      <c r="V54" s="41" t="s">
        <v>1332</v>
      </c>
      <c r="W54" s="41"/>
      <c r="X54" s="907" t="str">
        <f>CONCATENATE("► (",TEXT(ROUND(S70,2),"0,00"),")")</f>
        <v>► (11,37)</v>
      </c>
      <c r="Y54" s="936"/>
      <c r="Z54" s="953"/>
      <c r="AA54" s="954"/>
      <c r="AB54" s="41"/>
    </row>
    <row r="55" spans="1:28" ht="13.5" customHeight="1">
      <c r="A55" s="912"/>
      <c r="B55" s="41" t="s">
        <v>1878</v>
      </c>
      <c r="C55" s="39"/>
      <c r="D55" s="39"/>
      <c r="E55" s="39"/>
      <c r="F55" s="39"/>
      <c r="G55" s="39"/>
      <c r="H55" s="39"/>
      <c r="I55" s="913"/>
      <c r="J55" s="965"/>
      <c r="K55" s="966"/>
      <c r="L55" s="966"/>
      <c r="M55" s="966"/>
      <c r="N55" s="966"/>
      <c r="O55" s="41"/>
      <c r="P55" s="41"/>
      <c r="Q55" s="41"/>
      <c r="R55" s="83"/>
      <c r="S55" s="41"/>
      <c r="T55" s="41"/>
      <c r="U55" s="41">
        <v>2</v>
      </c>
      <c r="V55" s="41" t="s">
        <v>1333</v>
      </c>
      <c r="W55" s="41"/>
      <c r="X55" s="41"/>
      <c r="Y55" s="41"/>
      <c r="Z55" s="41"/>
      <c r="AA55" s="83"/>
      <c r="AB55" s="41"/>
    </row>
    <row r="56" spans="1:28" ht="13.5" customHeight="1">
      <c r="A56" s="923"/>
      <c r="B56" s="810"/>
      <c r="C56" s="810"/>
      <c r="D56" s="810"/>
      <c r="E56" s="810"/>
      <c r="F56" s="810"/>
      <c r="G56" s="810"/>
      <c r="H56" s="810"/>
      <c r="I56" s="810"/>
      <c r="J56" s="875">
        <f>J50+0.01</f>
        <v>11.279999999999994</v>
      </c>
      <c r="K56" s="2740" t="s">
        <v>1879</v>
      </c>
      <c r="L56" s="2740"/>
      <c r="M56" s="2740"/>
      <c r="N56" s="2740"/>
      <c r="O56" s="2740"/>
      <c r="P56" s="2740"/>
      <c r="Q56" s="2740"/>
      <c r="R56" s="2741"/>
      <c r="S56" s="810"/>
      <c r="T56" s="810"/>
      <c r="U56" s="810">
        <v>3</v>
      </c>
      <c r="V56" s="810" t="s">
        <v>1880</v>
      </c>
      <c r="W56" s="810"/>
      <c r="X56" s="810"/>
      <c r="Y56" s="810"/>
      <c r="Z56" s="810"/>
      <c r="AA56" s="809"/>
      <c r="AB56" s="41"/>
    </row>
    <row r="57" spans="1:28" ht="13.5" customHeight="1">
      <c r="A57" s="904">
        <f>A47+0.01</f>
        <v>11.239999999999995</v>
      </c>
      <c r="B57" s="2238" t="s">
        <v>1881</v>
      </c>
      <c r="C57" s="2238"/>
      <c r="D57" s="2238"/>
      <c r="E57" s="2238"/>
      <c r="F57" s="2238"/>
      <c r="G57" s="2238"/>
      <c r="H57" s="2238"/>
      <c r="I57" s="2238"/>
      <c r="J57" s="1009"/>
      <c r="K57" s="2180"/>
      <c r="L57" s="2180"/>
      <c r="M57" s="2180"/>
      <c r="N57" s="2180"/>
      <c r="O57" s="2180"/>
      <c r="P57" s="2180"/>
      <c r="Q57" s="2180"/>
      <c r="R57" s="2742"/>
      <c r="S57" s="964">
        <f>S52+0.01</f>
        <v>11.349999999999993</v>
      </c>
      <c r="T57" s="903" t="s">
        <v>1882</v>
      </c>
      <c r="U57" s="914"/>
      <c r="V57" s="903"/>
      <c r="W57" s="903"/>
      <c r="X57" s="903"/>
      <c r="Y57" s="903"/>
      <c r="Z57" s="903"/>
      <c r="AA57" s="794"/>
      <c r="AB57" s="41"/>
    </row>
    <row r="58" spans="1:28" ht="13.5" customHeight="1">
      <c r="A58" s="688"/>
      <c r="B58" s="2238"/>
      <c r="C58" s="2238"/>
      <c r="D58" s="2238"/>
      <c r="E58" s="2238"/>
      <c r="F58" s="2238"/>
      <c r="G58" s="2238"/>
      <c r="H58" s="2238"/>
      <c r="I58" s="2238"/>
      <c r="J58" s="879"/>
      <c r="K58" s="967"/>
      <c r="L58" s="967"/>
      <c r="M58" s="967"/>
      <c r="N58" s="967"/>
      <c r="O58" s="967"/>
      <c r="P58" s="967"/>
      <c r="Q58" s="967"/>
      <c r="R58" s="968"/>
      <c r="S58" s="41">
        <v>1</v>
      </c>
      <c r="T58" s="41" t="s">
        <v>1883</v>
      </c>
      <c r="V58" s="41"/>
      <c r="W58" s="41"/>
      <c r="X58" s="41" t="s">
        <v>1884</v>
      </c>
      <c r="Y58" s="43"/>
      <c r="Z58" s="43"/>
      <c r="AA58" s="45"/>
      <c r="AB58" s="41"/>
    </row>
    <row r="59" spans="1:28" ht="13.5" customHeight="1">
      <c r="A59" s="688"/>
      <c r="B59" s="969"/>
      <c r="C59" s="41">
        <v>1</v>
      </c>
      <c r="D59" s="41" t="s">
        <v>1332</v>
      </c>
      <c r="I59" s="969"/>
      <c r="J59" s="970" t="s">
        <v>1885</v>
      </c>
      <c r="K59" s="971"/>
      <c r="L59" s="971"/>
      <c r="M59" s="971"/>
      <c r="N59" s="2733" t="s">
        <v>1886</v>
      </c>
      <c r="O59" s="2733"/>
      <c r="P59" s="919"/>
      <c r="Q59" s="921"/>
      <c r="R59" s="972"/>
      <c r="S59" s="41">
        <v>2</v>
      </c>
      <c r="T59" s="2471" t="s">
        <v>1887</v>
      </c>
      <c r="U59" s="2471"/>
      <c r="V59" s="2471"/>
      <c r="W59" s="2471"/>
      <c r="X59" s="41" t="s">
        <v>1888</v>
      </c>
      <c r="Z59" s="871"/>
      <c r="AA59" s="872"/>
      <c r="AB59" s="41"/>
    </row>
    <row r="60" spans="1:28" ht="13.5">
      <c r="A60" s="923"/>
      <c r="B60" s="973"/>
      <c r="C60" s="810">
        <v>2</v>
      </c>
      <c r="D60" s="810" t="str">
        <f>CONCATENATE("Não  ►(", TEXT(A66,"0,00"),")")</f>
        <v>Não  ►(11,26)</v>
      </c>
      <c r="E60" s="952"/>
      <c r="F60" s="952"/>
      <c r="G60" s="952"/>
      <c r="H60" s="952"/>
      <c r="I60" s="952"/>
      <c r="J60" s="974"/>
      <c r="K60" s="971"/>
      <c r="L60" s="971"/>
      <c r="M60" s="971"/>
      <c r="N60" s="41"/>
      <c r="O60" s="41"/>
      <c r="P60" s="41"/>
      <c r="Q60" s="41"/>
      <c r="R60" s="41"/>
      <c r="S60" s="923">
        <v>3</v>
      </c>
      <c r="T60" s="926" t="s">
        <v>1889</v>
      </c>
      <c r="V60" s="43"/>
      <c r="W60" s="43"/>
      <c r="AA60" s="913"/>
      <c r="AB60" s="41"/>
    </row>
    <row r="61" spans="1:28" ht="13.5" customHeight="1">
      <c r="A61" s="902">
        <f>A57+0.01</f>
        <v>11.249999999999995</v>
      </c>
      <c r="B61" s="2713" t="s">
        <v>1890</v>
      </c>
      <c r="C61" s="2713"/>
      <c r="D61" s="2713"/>
      <c r="E61" s="2713"/>
      <c r="F61" s="2713"/>
      <c r="G61" s="2713"/>
      <c r="H61" s="2713"/>
      <c r="I61" s="2713"/>
      <c r="J61" s="2728" t="s">
        <v>1891</v>
      </c>
      <c r="K61" s="2729"/>
      <c r="L61" s="2729"/>
      <c r="M61" s="2729"/>
      <c r="P61" s="39"/>
      <c r="R61" s="975"/>
      <c r="V61" s="916"/>
      <c r="W61" s="916"/>
      <c r="X61" s="916"/>
      <c r="Y61" s="916"/>
      <c r="Z61" s="916"/>
      <c r="AA61" s="918"/>
      <c r="AB61" s="41"/>
    </row>
    <row r="62" spans="1:28" ht="13.5" customHeight="1">
      <c r="A62" s="904"/>
      <c r="B62" s="2238"/>
      <c r="C62" s="2238"/>
      <c r="D62" s="2238"/>
      <c r="E62" s="2238"/>
      <c r="F62" s="2238"/>
      <c r="G62" s="2238"/>
      <c r="H62" s="2238"/>
      <c r="I62" s="2238"/>
      <c r="J62" s="2728"/>
      <c r="K62" s="2729"/>
      <c r="L62" s="2729"/>
      <c r="M62" s="2729"/>
      <c r="N62" s="2733" t="s">
        <v>1892</v>
      </c>
      <c r="O62" s="2733"/>
      <c r="P62" s="39"/>
      <c r="Q62" s="39"/>
      <c r="R62" s="975"/>
      <c r="S62" s="964">
        <f>S57+0.01</f>
        <v>11.359999999999992</v>
      </c>
      <c r="T62" s="903" t="s">
        <v>1893</v>
      </c>
      <c r="U62" s="903"/>
      <c r="V62" s="976"/>
      <c r="W62" s="903"/>
      <c r="X62" s="903"/>
      <c r="Y62" s="903"/>
      <c r="Z62" s="903"/>
      <c r="AA62" s="794"/>
      <c r="AB62" s="41"/>
    </row>
    <row r="63" spans="1:28" ht="13.5" customHeight="1">
      <c r="A63" s="904"/>
      <c r="B63" s="926"/>
      <c r="C63" s="41"/>
      <c r="D63" s="41"/>
      <c r="E63" s="41"/>
      <c r="F63" s="41"/>
      <c r="G63" s="41"/>
      <c r="H63" s="41"/>
      <c r="I63" s="41"/>
      <c r="J63" s="2737"/>
      <c r="K63" s="2738"/>
      <c r="L63" s="2738"/>
      <c r="M63" s="2738"/>
      <c r="N63" s="977"/>
      <c r="O63" s="977"/>
      <c r="P63" s="977"/>
      <c r="Q63" s="977"/>
      <c r="R63" s="978"/>
      <c r="S63" s="41"/>
      <c r="U63" s="41"/>
      <c r="V63" s="41"/>
      <c r="W63" s="41"/>
      <c r="X63" s="41"/>
      <c r="Y63" s="41"/>
      <c r="Z63" s="41"/>
      <c r="AA63" s="83"/>
      <c r="AB63" s="41"/>
    </row>
    <row r="64" spans="1:28" ht="13.5" customHeight="1">
      <c r="A64" s="904"/>
      <c r="B64" s="41"/>
      <c r="C64" s="41"/>
      <c r="D64" s="41"/>
      <c r="E64" s="41"/>
      <c r="F64" s="41"/>
      <c r="G64" s="41"/>
      <c r="H64" s="41"/>
      <c r="I64" s="41"/>
      <c r="J64" s="979">
        <f>J56+0.01</f>
        <v>11.289999999999994</v>
      </c>
      <c r="K64" s="2238" t="s">
        <v>1894</v>
      </c>
      <c r="L64" s="2238"/>
      <c r="M64" s="2238"/>
      <c r="N64" s="2238"/>
      <c r="O64" s="2238"/>
      <c r="P64" s="2238"/>
      <c r="Q64" s="2238"/>
      <c r="R64" s="2237"/>
      <c r="S64" s="41"/>
      <c r="T64" s="41"/>
      <c r="U64" s="41"/>
      <c r="V64" s="41"/>
      <c r="W64" s="41"/>
      <c r="X64" s="41"/>
      <c r="Y64" s="41"/>
      <c r="Z64" s="41"/>
      <c r="AA64" s="83"/>
      <c r="AB64" s="41"/>
    </row>
    <row r="65" spans="1:28" ht="13.5" customHeight="1">
      <c r="A65" s="912"/>
      <c r="C65" s="39"/>
      <c r="D65" s="39"/>
      <c r="E65" s="39"/>
      <c r="F65" s="39"/>
      <c r="G65" s="39"/>
      <c r="H65" s="39"/>
      <c r="I65" s="39"/>
      <c r="J65" s="965"/>
      <c r="K65" s="2238"/>
      <c r="L65" s="2238"/>
      <c r="M65" s="2238"/>
      <c r="N65" s="2238"/>
      <c r="O65" s="2238"/>
      <c r="P65" s="2238"/>
      <c r="Q65" s="2238"/>
      <c r="R65" s="2237"/>
      <c r="S65" s="688"/>
      <c r="T65" s="921" t="s">
        <v>1873</v>
      </c>
      <c r="U65" s="934"/>
      <c r="V65" s="919"/>
      <c r="W65" s="41"/>
      <c r="X65" s="41"/>
      <c r="Y65" s="41"/>
      <c r="Z65" s="41"/>
      <c r="AA65" s="83"/>
      <c r="AB65" s="41"/>
    </row>
    <row r="66" spans="1:28" ht="13.5" customHeight="1">
      <c r="A66" s="875">
        <f>A61+0.01</f>
        <v>11.259999999999994</v>
      </c>
      <c r="B66" s="2724" t="s">
        <v>1895</v>
      </c>
      <c r="C66" s="2724"/>
      <c r="D66" s="2724"/>
      <c r="E66" s="2724"/>
      <c r="F66" s="2724"/>
      <c r="G66" s="2724"/>
      <c r="H66" s="2724"/>
      <c r="I66" s="2724"/>
      <c r="J66" s="935"/>
      <c r="K66" s="2238"/>
      <c r="L66" s="2238"/>
      <c r="M66" s="2238"/>
      <c r="N66" s="2238"/>
      <c r="O66" s="2238"/>
      <c r="P66" s="2238"/>
      <c r="Q66" s="2238"/>
      <c r="R66" s="2237"/>
      <c r="S66" s="41"/>
      <c r="T66" s="41" t="s">
        <v>1874</v>
      </c>
      <c r="X66" s="41"/>
      <c r="Y66" s="41"/>
      <c r="Z66" s="41"/>
      <c r="AA66" s="83"/>
      <c r="AB66" s="41"/>
    </row>
    <row r="67" spans="1:28" ht="13.5" customHeight="1">
      <c r="A67" s="980"/>
      <c r="B67" s="2238"/>
      <c r="C67" s="2238"/>
      <c r="D67" s="2238"/>
      <c r="E67" s="2238"/>
      <c r="F67" s="2238"/>
      <c r="G67" s="2238"/>
      <c r="H67" s="2238"/>
      <c r="I67" s="2238"/>
      <c r="J67" s="2461" t="str">
        <f>CONCATENATE("Se a fonte estiver no agregado, escreva 0 ► (",TEXT(ROUND(J76,2),"0,00"),")")</f>
        <v>Se a fonte estiver no agregado, escreva 0 ► (11,31)</v>
      </c>
      <c r="K67" s="2462"/>
      <c r="L67" s="2462"/>
      <c r="M67" s="2462"/>
      <c r="N67" s="2462"/>
      <c r="O67" s="41"/>
      <c r="P67" s="41"/>
      <c r="Q67" s="41"/>
      <c r="R67" s="83"/>
      <c r="S67" s="41"/>
      <c r="T67" s="41" t="s">
        <v>1876</v>
      </c>
      <c r="X67" s="41"/>
      <c r="Y67" s="41"/>
      <c r="Z67" s="41"/>
      <c r="AA67" s="83"/>
      <c r="AB67" s="41"/>
    </row>
    <row r="68" spans="1:28" ht="13.5">
      <c r="A68" s="981"/>
      <c r="B68" s="982" t="s">
        <v>1896</v>
      </c>
      <c r="C68" s="41"/>
      <c r="D68" s="41"/>
      <c r="E68" s="41"/>
      <c r="F68" s="41"/>
      <c r="G68" s="41"/>
      <c r="H68" s="41"/>
      <c r="I68" s="41"/>
      <c r="J68" s="2461"/>
      <c r="K68" s="2462"/>
      <c r="L68" s="2462"/>
      <c r="M68" s="2462"/>
      <c r="N68" s="2462"/>
      <c r="O68" s="39"/>
      <c r="P68" s="39"/>
      <c r="Q68" s="39"/>
      <c r="R68" s="908"/>
      <c r="S68" s="41"/>
      <c r="T68" s="41" t="s">
        <v>1877</v>
      </c>
      <c r="X68" s="41"/>
      <c r="Y68" s="41"/>
      <c r="Z68" s="41"/>
      <c r="AA68" s="83"/>
      <c r="AB68" s="41"/>
    </row>
    <row r="69" spans="1:28" ht="13.5">
      <c r="A69" s="981">
        <v>1</v>
      </c>
      <c r="B69" s="114" t="s">
        <v>1897</v>
      </c>
      <c r="C69" s="269"/>
      <c r="D69" s="269"/>
      <c r="E69" s="41"/>
      <c r="F69" s="41"/>
      <c r="G69" s="41"/>
      <c r="H69" s="41"/>
      <c r="I69" s="41"/>
      <c r="J69" s="983">
        <f>J64+0.01</f>
        <v>11.299999999999994</v>
      </c>
      <c r="K69" s="2724" t="s">
        <v>1898</v>
      </c>
      <c r="L69" s="2724"/>
      <c r="M69" s="2724"/>
      <c r="N69" s="2724"/>
      <c r="O69" s="2724"/>
      <c r="P69" s="2724"/>
      <c r="Q69" s="2724"/>
      <c r="R69" s="2726"/>
      <c r="S69" s="810"/>
      <c r="T69" s="810" t="s">
        <v>1899</v>
      </c>
      <c r="U69" s="687"/>
      <c r="V69" s="687"/>
      <c r="W69" s="687"/>
      <c r="X69" s="810"/>
      <c r="Y69" s="810"/>
      <c r="Z69" s="810"/>
      <c r="AA69" s="809"/>
      <c r="AB69" s="41"/>
    </row>
    <row r="70" spans="1:28" ht="13.5">
      <c r="A70" s="981">
        <v>2</v>
      </c>
      <c r="B70" s="114" t="s">
        <v>1900</v>
      </c>
      <c r="C70" s="269"/>
      <c r="D70" s="269"/>
      <c r="E70" s="41"/>
      <c r="F70" s="41"/>
      <c r="G70" s="614" t="s">
        <v>1901</v>
      </c>
      <c r="H70" s="41"/>
      <c r="I70" s="41"/>
      <c r="J70" s="879"/>
      <c r="K70" s="2238"/>
      <c r="L70" s="2238"/>
      <c r="M70" s="2238"/>
      <c r="N70" s="2238"/>
      <c r="O70" s="2238"/>
      <c r="P70" s="2238"/>
      <c r="Q70" s="2238"/>
      <c r="R70" s="2727"/>
      <c r="S70" s="964">
        <f>S62+0.01</f>
        <v>11.369999999999992</v>
      </c>
      <c r="T70" s="914" t="s">
        <v>1902</v>
      </c>
      <c r="U70" s="914"/>
      <c r="V70" s="914"/>
      <c r="W70" s="914"/>
      <c r="X70" s="914"/>
      <c r="Y70" s="914"/>
      <c r="Z70" s="914"/>
      <c r="AA70" s="984"/>
      <c r="AB70" s="41"/>
    </row>
    <row r="71" spans="1:28" ht="13.5" customHeight="1">
      <c r="A71" s="981">
        <v>3</v>
      </c>
      <c r="B71" s="114" t="s">
        <v>1903</v>
      </c>
      <c r="C71" s="269"/>
      <c r="D71" s="269"/>
      <c r="E71" s="41"/>
      <c r="F71" s="41"/>
      <c r="G71" s="41"/>
      <c r="H71" s="41"/>
      <c r="I71" s="41"/>
      <c r="J71" s="970" t="s">
        <v>1885</v>
      </c>
      <c r="K71" s="41"/>
      <c r="L71" s="41"/>
      <c r="M71" s="41"/>
      <c r="N71" s="2733" t="s">
        <v>1886</v>
      </c>
      <c r="O71" s="2733"/>
      <c r="P71" s="41"/>
      <c r="Q71" s="41"/>
      <c r="R71" s="972"/>
      <c r="S71" s="896"/>
      <c r="T71" s="926">
        <v>1</v>
      </c>
      <c r="U71" s="906" t="s">
        <v>1904</v>
      </c>
      <c r="V71" s="41"/>
      <c r="W71" s="41"/>
      <c r="X71" s="41"/>
      <c r="Y71" s="41"/>
      <c r="Z71" s="41"/>
      <c r="AA71" s="83"/>
      <c r="AB71" s="41"/>
    </row>
    <row r="72" spans="1:28" ht="13.5" customHeight="1">
      <c r="A72" s="981">
        <v>4</v>
      </c>
      <c r="B72" s="906" t="s">
        <v>1905</v>
      </c>
      <c r="C72" s="41"/>
      <c r="D72" s="41"/>
      <c r="E72" s="41"/>
      <c r="F72" s="41"/>
      <c r="G72" s="41"/>
      <c r="H72" s="41"/>
      <c r="I72" s="41"/>
      <c r="J72" s="879"/>
      <c r="K72" s="985"/>
      <c r="L72" s="985"/>
      <c r="M72" s="985"/>
      <c r="N72" s="971"/>
      <c r="O72" s="971"/>
      <c r="P72" s="919"/>
      <c r="Q72" s="921"/>
      <c r="R72" s="972"/>
      <c r="S72" s="896"/>
      <c r="T72" s="926">
        <v>2</v>
      </c>
      <c r="U72" s="906" t="str">
        <f>CONCATENATE("Electricidade (gerador) ► (",TEXT(ROUND(A101,2),"0,00"),")")</f>
        <v>Electricidade (gerador) ► (11,42)</v>
      </c>
      <c r="V72" s="41"/>
      <c r="W72" s="41"/>
      <c r="X72" s="41"/>
      <c r="Y72" s="41"/>
      <c r="Z72" s="41"/>
      <c r="AA72" s="83"/>
      <c r="AB72" s="41"/>
    </row>
    <row r="73" spans="1:28" ht="13.5">
      <c r="A73" s="981"/>
      <c r="B73" s="549" t="s">
        <v>1906</v>
      </c>
      <c r="C73" s="269"/>
      <c r="D73" s="269"/>
      <c r="E73" s="269"/>
      <c r="F73" s="41"/>
      <c r="G73" s="41"/>
      <c r="H73" s="41"/>
      <c r="I73" s="41"/>
      <c r="J73" s="2728" t="s">
        <v>1891</v>
      </c>
      <c r="K73" s="2729"/>
      <c r="L73" s="2729"/>
      <c r="M73" s="2729"/>
      <c r="N73" s="2729"/>
      <c r="O73" s="2733" t="s">
        <v>1892</v>
      </c>
      <c r="P73" s="2733"/>
      <c r="Q73" s="41"/>
      <c r="R73" s="972"/>
      <c r="S73" s="896"/>
      <c r="T73" s="926">
        <v>3</v>
      </c>
      <c r="U73" s="906" t="str">
        <f>CONCATENATE("Electricidade com placa solar ► (",TEXT(ROUND(A101,2),"0,00"),")")</f>
        <v>Electricidade com placa solar ► (11,42)</v>
      </c>
      <c r="V73" s="41"/>
      <c r="W73" s="41"/>
      <c r="X73" s="41"/>
      <c r="Y73" s="41"/>
      <c r="Z73" s="41"/>
      <c r="AA73" s="83"/>
      <c r="AB73" s="41"/>
    </row>
    <row r="74" spans="1:28" ht="13.5" customHeight="1">
      <c r="A74" s="981">
        <v>5</v>
      </c>
      <c r="B74" s="114" t="s">
        <v>1907</v>
      </c>
      <c r="C74" s="269"/>
      <c r="D74" s="269"/>
      <c r="E74" s="269"/>
      <c r="F74" s="41"/>
      <c r="G74" s="41"/>
      <c r="H74" s="41"/>
      <c r="I74" s="41"/>
      <c r="J74" s="2728"/>
      <c r="K74" s="2729"/>
      <c r="L74" s="2729"/>
      <c r="M74" s="2729"/>
      <c r="N74" s="2729"/>
      <c r="P74" s="919"/>
      <c r="R74" s="986"/>
      <c r="S74" s="896"/>
      <c r="T74" s="926">
        <v>4</v>
      </c>
      <c r="U74" s="906" t="str">
        <f>CONCATENATE("Candeeiro a petróleo ► (",TEXT(ROUND(A101,2),"0,00"),")")</f>
        <v>Candeeiro a petróleo ► (11,42)</v>
      </c>
      <c r="V74" s="41"/>
      <c r="W74" s="41"/>
      <c r="X74" s="41"/>
      <c r="Y74" s="41"/>
      <c r="Z74" s="41"/>
      <c r="AA74" s="83"/>
      <c r="AB74" s="41"/>
    </row>
    <row r="75" spans="1:28" ht="13.5">
      <c r="A75" s="981">
        <v>6</v>
      </c>
      <c r="B75" s="114" t="s">
        <v>1908</v>
      </c>
      <c r="C75" s="269"/>
      <c r="D75" s="269"/>
      <c r="E75" s="269"/>
      <c r="F75" s="41"/>
      <c r="G75" s="41"/>
      <c r="H75" s="41"/>
      <c r="I75" s="41"/>
      <c r="J75" s="987"/>
      <c r="K75" s="988"/>
      <c r="L75" s="988"/>
      <c r="M75" s="988"/>
      <c r="N75" s="988"/>
      <c r="O75" s="988"/>
      <c r="P75" s="988"/>
      <c r="Q75" s="989"/>
      <c r="R75" s="990"/>
      <c r="S75" s="896"/>
      <c r="T75" s="926">
        <v>5</v>
      </c>
      <c r="U75" s="906" t="str">
        <f>CONCATENATE("Lampada a pilhas/Lampada solar ► (",TEXT(ROUND(A101,2),"0,00"),")")</f>
        <v>Lampada a pilhas/Lampada solar ► (11,42)</v>
      </c>
      <c r="V75" s="41"/>
      <c r="W75" s="41"/>
      <c r="X75" s="41"/>
      <c r="Y75" s="41"/>
      <c r="Z75" s="41"/>
      <c r="AA75" s="83"/>
      <c r="AB75" s="41"/>
    </row>
    <row r="76" spans="1:28" ht="13.5">
      <c r="A76" s="981"/>
      <c r="B76" s="982" t="s">
        <v>1909</v>
      </c>
      <c r="C76" s="41"/>
      <c r="D76" s="41"/>
      <c r="E76" s="41"/>
      <c r="F76" s="41"/>
      <c r="G76" s="41"/>
      <c r="H76" s="41"/>
      <c r="I76" s="972"/>
      <c r="J76" s="959">
        <f>J69+0.01</f>
        <v>11.309999999999993</v>
      </c>
      <c r="K76" s="2238" t="s">
        <v>1910</v>
      </c>
      <c r="L76" s="2238"/>
      <c r="M76" s="2238"/>
      <c r="N76" s="2238"/>
      <c r="O76" s="2238"/>
      <c r="P76" s="2238"/>
      <c r="Q76" s="2238"/>
      <c r="R76" s="2237"/>
      <c r="S76" s="991"/>
      <c r="T76" s="926">
        <v>6</v>
      </c>
      <c r="U76" s="906" t="str">
        <f>CONCATENATE("Parafina/Lenha/Madeira ► (", TEXT(ROUND(A101,2),"0,00"),")")</f>
        <v>Parafina/Lenha/Madeira ► (11,42)</v>
      </c>
      <c r="X76" s="41"/>
      <c r="Y76" s="920"/>
      <c r="Z76" s="920"/>
      <c r="AA76" s="83"/>
      <c r="AB76" s="41"/>
    </row>
    <row r="77" spans="1:28" ht="13.5">
      <c r="A77" s="992">
        <v>7</v>
      </c>
      <c r="B77" s="114" t="s">
        <v>1911</v>
      </c>
      <c r="C77" s="269"/>
      <c r="D77" s="269"/>
      <c r="E77" s="269"/>
      <c r="F77" s="41"/>
      <c r="G77" s="41"/>
      <c r="H77" s="41"/>
      <c r="I77" s="972"/>
      <c r="J77" s="960"/>
      <c r="K77" s="960"/>
      <c r="L77" s="960"/>
      <c r="M77" s="41" t="s">
        <v>1857</v>
      </c>
      <c r="N77" s="41"/>
      <c r="O77" s="41"/>
      <c r="P77" s="936"/>
      <c r="Q77" s="41"/>
      <c r="R77" s="41"/>
      <c r="S77" s="688"/>
      <c r="T77" s="926">
        <v>7</v>
      </c>
      <c r="U77" s="41" t="str">
        <f>CONCATENATE("Outros (a precisar)   ►(",TEXT(ROUND(A101,2),"0,00"),")")</f>
        <v>Outros (a precisar)   ►(11,42)</v>
      </c>
      <c r="V77" s="41"/>
      <c r="W77" s="919"/>
      <c r="X77" s="41"/>
      <c r="Y77" s="41"/>
      <c r="Z77" s="41"/>
      <c r="AA77" s="83"/>
      <c r="AB77" s="41"/>
    </row>
    <row r="78" spans="1:28" ht="13.5">
      <c r="A78" s="992">
        <v>8</v>
      </c>
      <c r="B78" s="114" t="s">
        <v>1912</v>
      </c>
      <c r="C78" s="269"/>
      <c r="D78" s="269"/>
      <c r="E78" s="269"/>
      <c r="F78" s="41"/>
      <c r="G78" s="41"/>
      <c r="H78" s="41"/>
      <c r="I78" s="972"/>
      <c r="J78" s="960"/>
      <c r="K78" s="960"/>
      <c r="L78" s="960"/>
      <c r="M78" s="41" t="str">
        <f>CONCATENATE("2  Não ► (",ROUND(S47,2),")")</f>
        <v>2  Não ► (11,33)</v>
      </c>
      <c r="N78" s="41"/>
      <c r="O78" s="41"/>
      <c r="P78" s="936"/>
      <c r="Q78" s="41"/>
      <c r="R78" s="83"/>
      <c r="S78" s="688"/>
      <c r="T78" s="963">
        <v>8</v>
      </c>
      <c r="U78" s="810" t="str">
        <f>CONCATENATE("Vela  ►(",TEXT(ROUND(A101,2),"0,00"),")")</f>
        <v>Vela  ►(11,42)</v>
      </c>
      <c r="V78" s="810"/>
      <c r="W78" s="993"/>
      <c r="X78" s="810"/>
      <c r="Y78" s="41"/>
      <c r="Z78" s="41"/>
      <c r="AA78" s="83"/>
      <c r="AB78" s="41"/>
    </row>
    <row r="79" spans="1:28" ht="13.5">
      <c r="A79" s="992">
        <v>9</v>
      </c>
      <c r="B79" s="114" t="s">
        <v>1913</v>
      </c>
      <c r="C79" s="269"/>
      <c r="D79" s="269"/>
      <c r="E79" s="269"/>
      <c r="F79" s="41"/>
      <c r="G79" s="41"/>
      <c r="H79" s="41"/>
      <c r="I79" s="972"/>
      <c r="J79" s="41"/>
      <c r="K79" s="41"/>
      <c r="L79" s="41"/>
      <c r="M79" s="41" t="str">
        <f>CONCATENATE("3  Não sabe ► (",ROUND(S47,2),")")</f>
        <v>3  Não sabe ► (11,33)</v>
      </c>
      <c r="N79" s="41"/>
      <c r="O79" s="907"/>
      <c r="P79" s="41"/>
      <c r="Q79" s="41"/>
      <c r="R79" s="83"/>
      <c r="S79" s="994">
        <f>S70+0.01</f>
        <v>11.379999999999992</v>
      </c>
      <c r="T79" s="2713" t="s">
        <v>1914</v>
      </c>
      <c r="U79" s="2713"/>
      <c r="V79" s="2713"/>
      <c r="W79" s="2713"/>
      <c r="X79" s="2713"/>
      <c r="Y79" s="2713"/>
      <c r="Z79" s="2713"/>
      <c r="AA79" s="2714"/>
      <c r="AB79" s="41"/>
    </row>
    <row r="80" spans="1:28" ht="13.5" customHeight="1">
      <c r="A80" s="992">
        <v>10</v>
      </c>
      <c r="B80" s="114" t="s">
        <v>1915</v>
      </c>
      <c r="C80" s="269"/>
      <c r="D80" s="269"/>
      <c r="E80" s="269"/>
      <c r="F80" s="41"/>
      <c r="G80" s="41"/>
      <c r="H80" s="41"/>
      <c r="I80" s="972"/>
      <c r="J80" s="41"/>
      <c r="K80" s="41"/>
      <c r="L80" s="41"/>
      <c r="M80" s="892"/>
      <c r="N80" s="892"/>
      <c r="O80" s="41"/>
      <c r="P80" s="41"/>
      <c r="Q80" s="41"/>
      <c r="R80" s="83"/>
      <c r="S80" s="904"/>
      <c r="T80" s="2238"/>
      <c r="U80" s="2238"/>
      <c r="V80" s="2238"/>
      <c r="W80" s="2238"/>
      <c r="X80" s="2238"/>
      <c r="Y80" s="2238"/>
      <c r="Z80" s="2238"/>
      <c r="AA80" s="2237"/>
      <c r="AB80" s="41"/>
    </row>
    <row r="81" spans="1:28" ht="13.5" customHeight="1">
      <c r="A81" s="992"/>
      <c r="B81" s="982" t="s">
        <v>1916</v>
      </c>
      <c r="C81" s="41"/>
      <c r="D81" s="41"/>
      <c r="E81" s="41"/>
      <c r="G81" s="919" t="s">
        <v>1917</v>
      </c>
      <c r="H81" s="41"/>
      <c r="I81" s="972"/>
      <c r="J81" s="964">
        <f>J76+0.01</f>
        <v>11.319999999999993</v>
      </c>
      <c r="K81" s="2713" t="s">
        <v>1918</v>
      </c>
      <c r="L81" s="2713"/>
      <c r="M81" s="2713"/>
      <c r="N81" s="2713"/>
      <c r="O81" s="2713"/>
      <c r="P81" s="2713"/>
      <c r="Q81" s="2713"/>
      <c r="R81" s="2714"/>
      <c r="S81" s="912"/>
      <c r="W81" s="41" t="s">
        <v>106</v>
      </c>
      <c r="AA81" s="913"/>
      <c r="AB81" s="41"/>
    </row>
    <row r="82" spans="1:28" ht="13.5">
      <c r="A82" s="992">
        <v>11</v>
      </c>
      <c r="B82" s="114" t="s">
        <v>1919</v>
      </c>
      <c r="C82" s="269"/>
      <c r="D82" s="269"/>
      <c r="E82" s="269"/>
      <c r="F82" s="41"/>
      <c r="G82" s="41"/>
      <c r="H82" s="41"/>
      <c r="I82" s="972"/>
      <c r="J82" s="959"/>
      <c r="K82" s="2238"/>
      <c r="L82" s="2238"/>
      <c r="M82" s="2238"/>
      <c r="N82" s="2238"/>
      <c r="O82" s="2238"/>
      <c r="P82" s="2238"/>
      <c r="Q82" s="2238"/>
      <c r="R82" s="2237"/>
      <c r="S82" s="923"/>
      <c r="T82" s="916"/>
      <c r="U82" s="917"/>
      <c r="V82" s="916"/>
      <c r="W82" s="810" t="str">
        <f>CONCATENATE("2 Não  ► (",TEXT(ROUND(A101,2),"0,00"),")")</f>
        <v>2 Não  ► (11,42)</v>
      </c>
      <c r="X82" s="916"/>
      <c r="Y82" s="916"/>
      <c r="Z82" s="916"/>
      <c r="AA82" s="918"/>
      <c r="AB82" s="41"/>
    </row>
    <row r="83" spans="1:28" ht="13.5" customHeight="1">
      <c r="A83" s="992">
        <v>12</v>
      </c>
      <c r="B83" s="114" t="s">
        <v>1920</v>
      </c>
      <c r="C83" s="269"/>
      <c r="D83" s="269"/>
      <c r="E83" s="269"/>
      <c r="F83" s="41"/>
      <c r="G83" s="41"/>
      <c r="H83" s="41"/>
      <c r="I83" s="972"/>
      <c r="J83" s="41"/>
      <c r="K83" s="2730" t="s">
        <v>1921</v>
      </c>
      <c r="L83" s="2730"/>
      <c r="M83" s="2730"/>
      <c r="N83" s="2730"/>
      <c r="O83" s="2730"/>
      <c r="P83" s="2730"/>
      <c r="Q83" s="2731" t="s">
        <v>1922</v>
      </c>
      <c r="R83" s="2732"/>
      <c r="S83" s="994">
        <f>S79+0.01</f>
        <v>11.389999999999992</v>
      </c>
      <c r="T83" s="2713" t="s">
        <v>1923</v>
      </c>
      <c r="U83" s="2713"/>
      <c r="V83" s="2713"/>
      <c r="W83" s="2713"/>
      <c r="X83" s="2713"/>
      <c r="Y83" s="2713"/>
      <c r="Z83" s="2713"/>
      <c r="AA83" s="2714"/>
      <c r="AB83" s="41"/>
    </row>
    <row r="84" spans="1:28" ht="15.75" customHeight="1">
      <c r="A84" s="992">
        <v>13</v>
      </c>
      <c r="B84" s="114" t="s">
        <v>1924</v>
      </c>
      <c r="C84" s="269"/>
      <c r="D84" s="269"/>
      <c r="E84" s="269"/>
      <c r="F84" s="41"/>
      <c r="G84" s="41"/>
      <c r="H84" s="41"/>
      <c r="I84" s="972"/>
      <c r="J84" s="896"/>
      <c r="K84" s="2238" t="s">
        <v>1925</v>
      </c>
      <c r="L84" s="2238"/>
      <c r="M84" s="2238"/>
      <c r="N84" s="2238"/>
      <c r="O84" s="2238"/>
      <c r="P84" s="2238"/>
      <c r="Q84" s="954"/>
      <c r="R84" s="995"/>
      <c r="S84" s="688"/>
      <c r="T84" s="2238"/>
      <c r="U84" s="2238"/>
      <c r="V84" s="2238"/>
      <c r="W84" s="2238"/>
      <c r="X84" s="2238"/>
      <c r="Y84" s="2238"/>
      <c r="Z84" s="2238"/>
      <c r="AA84" s="2237"/>
      <c r="AB84" s="41"/>
    </row>
    <row r="85" spans="1:28" ht="13.5" customHeight="1">
      <c r="A85" s="992"/>
      <c r="B85" s="982" t="s">
        <v>1926</v>
      </c>
      <c r="C85" s="41"/>
      <c r="D85" s="41"/>
      <c r="E85" s="41"/>
      <c r="F85" s="41"/>
      <c r="G85" s="41"/>
      <c r="H85" s="41"/>
      <c r="I85" s="972"/>
      <c r="J85" s="41"/>
      <c r="K85" s="41" t="s">
        <v>1927</v>
      </c>
      <c r="L85" s="907"/>
      <c r="M85" s="41"/>
      <c r="N85" s="41"/>
      <c r="O85" s="41"/>
      <c r="P85" s="41"/>
      <c r="Q85" s="83"/>
      <c r="R85" s="782"/>
      <c r="S85" s="688"/>
      <c r="V85" s="41"/>
      <c r="W85" s="919" t="s">
        <v>1363</v>
      </c>
      <c r="X85" s="41"/>
      <c r="Y85" s="41"/>
      <c r="Z85" s="41"/>
      <c r="AA85" s="83"/>
      <c r="AB85" s="41"/>
    </row>
    <row r="86" spans="1:28" ht="13.5" customHeight="1">
      <c r="A86" s="992">
        <v>14</v>
      </c>
      <c r="B86" s="906" t="s">
        <v>1928</v>
      </c>
      <c r="C86" s="41"/>
      <c r="D86" s="41"/>
      <c r="E86" s="41"/>
      <c r="F86" s="41"/>
      <c r="G86" s="41"/>
      <c r="H86" s="41"/>
      <c r="I86" s="972"/>
      <c r="J86" s="41"/>
      <c r="K86" s="41" t="s">
        <v>1929</v>
      </c>
      <c r="L86" s="907"/>
      <c r="M86" s="41"/>
      <c r="N86" s="41"/>
      <c r="O86" s="41"/>
      <c r="P86" s="41"/>
      <c r="Q86" s="83"/>
      <c r="R86" s="782"/>
      <c r="S86" s="912"/>
      <c r="V86" s="39"/>
      <c r="X86" s="39"/>
      <c r="Y86" s="39"/>
      <c r="Z86" s="39"/>
      <c r="AA86" s="908"/>
      <c r="AB86" s="41"/>
    </row>
    <row r="87" spans="1:28" ht="13.5" customHeight="1">
      <c r="A87" s="992">
        <v>15</v>
      </c>
      <c r="B87" s="906" t="s">
        <v>1930</v>
      </c>
      <c r="C87" s="41"/>
      <c r="D87" s="41"/>
      <c r="E87" s="41"/>
      <c r="F87" s="41"/>
      <c r="G87" s="41"/>
      <c r="H87" s="41"/>
      <c r="I87" s="972"/>
      <c r="J87" s="959"/>
      <c r="K87" s="41" t="s">
        <v>1931</v>
      </c>
      <c r="L87" s="907"/>
      <c r="M87" s="41"/>
      <c r="N87" s="41"/>
      <c r="O87" s="41"/>
      <c r="P87" s="41"/>
      <c r="Q87" s="83"/>
      <c r="R87" s="782"/>
      <c r="S87" s="994">
        <f>S83+0.01</f>
        <v>11.399999999999991</v>
      </c>
      <c r="T87" s="2734" t="s">
        <v>1932</v>
      </c>
      <c r="U87" s="2734"/>
      <c r="V87" s="2734"/>
      <c r="W87" s="2734"/>
      <c r="X87" s="2734"/>
      <c r="Y87" s="2734"/>
      <c r="Z87" s="2734"/>
      <c r="AA87" s="2735"/>
      <c r="AB87" s="41"/>
    </row>
    <row r="88" spans="1:28" ht="13.5" customHeight="1">
      <c r="A88" s="992">
        <v>16</v>
      </c>
      <c r="B88" s="906" t="s">
        <v>1933</v>
      </c>
      <c r="E88" s="41"/>
      <c r="F88" s="41"/>
      <c r="G88" s="41"/>
      <c r="H88" s="41"/>
      <c r="I88" s="972"/>
      <c r="J88" s="896"/>
      <c r="K88" s="41" t="s">
        <v>1934</v>
      </c>
      <c r="L88" s="907"/>
      <c r="M88" s="926"/>
      <c r="N88" s="41"/>
      <c r="O88" s="41"/>
      <c r="P88" s="41"/>
      <c r="Q88" s="83"/>
      <c r="R88" s="996"/>
      <c r="S88" s="979"/>
      <c r="T88" s="960"/>
      <c r="U88" s="960"/>
      <c r="V88" s="960"/>
      <c r="W88" s="960"/>
      <c r="X88" s="960"/>
      <c r="Y88" s="960"/>
      <c r="Z88" s="960"/>
      <c r="AA88" s="997"/>
      <c r="AB88" s="41"/>
    </row>
    <row r="89" spans="1:28" ht="13.5" customHeight="1">
      <c r="A89" s="992">
        <v>17</v>
      </c>
      <c r="B89" s="906" t="s">
        <v>1935</v>
      </c>
      <c r="C89" s="41"/>
      <c r="D89" s="41"/>
      <c r="E89" s="41"/>
      <c r="F89" s="41"/>
      <c r="G89" s="41"/>
      <c r="H89" s="41"/>
      <c r="I89" s="972"/>
      <c r="J89" s="896"/>
      <c r="K89" s="41" t="s">
        <v>1936</v>
      </c>
      <c r="L89" s="907"/>
      <c r="M89" s="41"/>
      <c r="N89" s="41"/>
      <c r="O89" s="41"/>
      <c r="P89" s="41"/>
      <c r="Q89" s="83"/>
      <c r="R89" s="996"/>
      <c r="S89" s="688"/>
      <c r="T89" s="41"/>
      <c r="U89" s="41"/>
      <c r="V89" s="41"/>
      <c r="W89" s="919" t="s">
        <v>1937</v>
      </c>
      <c r="X89" s="812"/>
      <c r="Y89" s="812"/>
      <c r="Z89" s="41"/>
      <c r="AA89" s="83"/>
      <c r="AB89" s="41"/>
    </row>
    <row r="90" spans="1:28" ht="13.5" customHeight="1">
      <c r="A90" s="998">
        <v>18</v>
      </c>
      <c r="B90" s="956" t="s">
        <v>1938</v>
      </c>
      <c r="C90" s="989"/>
      <c r="D90" s="989"/>
      <c r="E90" s="989"/>
      <c r="F90" s="999"/>
      <c r="G90" s="999"/>
      <c r="H90" s="1010"/>
      <c r="I90" s="1011"/>
      <c r="J90" s="810"/>
      <c r="K90" s="810" t="s">
        <v>1939</v>
      </c>
      <c r="L90" s="916"/>
      <c r="M90" s="916"/>
      <c r="N90" s="810"/>
      <c r="O90" s="810"/>
      <c r="P90" s="810"/>
      <c r="Q90" s="809"/>
      <c r="R90" s="996"/>
      <c r="S90" s="923"/>
      <c r="T90" s="810"/>
      <c r="U90" s="810"/>
      <c r="V90" s="810"/>
      <c r="W90" s="1013"/>
      <c r="X90" s="1012"/>
      <c r="Y90" s="1012"/>
      <c r="Z90" s="810"/>
      <c r="AA90" s="809"/>
      <c r="AB90" s="41"/>
    </row>
    <row r="91" spans="1:28" ht="13.5">
      <c r="J91" s="41"/>
      <c r="K91" s="41"/>
      <c r="L91" s="907"/>
      <c r="M91" s="41"/>
      <c r="N91" s="41"/>
      <c r="O91" s="41"/>
      <c r="P91" s="41"/>
      <c r="Q91" s="41"/>
      <c r="R91" s="41"/>
      <c r="S91" s="41"/>
      <c r="T91" s="41"/>
      <c r="U91" s="41"/>
      <c r="V91" s="41"/>
      <c r="W91" s="812"/>
      <c r="X91" s="812"/>
      <c r="Y91" s="812"/>
      <c r="Z91" s="41"/>
      <c r="AA91" s="41"/>
      <c r="AB91" s="41"/>
    </row>
    <row r="92" spans="1:28" ht="13.5">
      <c r="J92" s="41"/>
      <c r="K92" s="41"/>
      <c r="L92" s="907"/>
      <c r="M92" s="41"/>
      <c r="N92" s="41"/>
      <c r="O92" s="41"/>
      <c r="P92" s="41"/>
      <c r="Q92" s="41"/>
      <c r="R92" s="41"/>
      <c r="S92" s="41"/>
      <c r="T92" s="41"/>
      <c r="U92" s="41"/>
      <c r="V92" s="41"/>
      <c r="W92" s="812"/>
      <c r="X92" s="812"/>
      <c r="Y92" s="812"/>
      <c r="Z92" s="41"/>
      <c r="AA92" s="41"/>
      <c r="AB92" s="41"/>
    </row>
    <row r="93" spans="1:28" ht="13.5">
      <c r="J93" s="41"/>
      <c r="K93" s="41"/>
      <c r="L93" s="907"/>
      <c r="M93" s="41"/>
      <c r="N93" s="41"/>
      <c r="O93" s="41"/>
      <c r="P93" s="41"/>
      <c r="Q93" s="41"/>
      <c r="R93" s="41"/>
      <c r="S93" s="41"/>
      <c r="T93" s="41"/>
      <c r="U93" s="41"/>
      <c r="V93" s="41"/>
      <c r="W93" s="812"/>
      <c r="X93" s="812"/>
      <c r="Y93" s="812"/>
      <c r="Z93" s="41"/>
      <c r="AA93" s="41"/>
      <c r="AB93" s="41"/>
    </row>
    <row r="94" spans="1:28" ht="13.5">
      <c r="J94" s="41"/>
      <c r="K94" s="41"/>
      <c r="L94" s="907"/>
      <c r="M94" s="41"/>
      <c r="N94" s="41"/>
      <c r="O94" s="41"/>
      <c r="P94" s="41"/>
      <c r="Q94" s="41"/>
      <c r="R94" s="41"/>
      <c r="S94" s="41"/>
      <c r="T94" s="41"/>
      <c r="U94" s="41"/>
      <c r="V94" s="41"/>
      <c r="W94" s="41"/>
      <c r="X94" s="41"/>
      <c r="Y94" s="41"/>
      <c r="Z94" s="41"/>
      <c r="AA94" s="41"/>
      <c r="AB94" s="41"/>
    </row>
    <row r="95" spans="1:28" ht="13.5">
      <c r="A95" s="994">
        <f>S87+0.01</f>
        <v>11.409999999999991</v>
      </c>
      <c r="B95" s="903" t="s">
        <v>1940</v>
      </c>
      <c r="C95" s="903"/>
      <c r="D95" s="903"/>
      <c r="E95" s="903"/>
      <c r="F95" s="903"/>
      <c r="G95" s="903"/>
      <c r="H95" s="903"/>
      <c r="I95" s="794"/>
      <c r="J95" s="994">
        <f>A128+0.01</f>
        <v>11.47999999999999</v>
      </c>
      <c r="K95" s="2720" t="s">
        <v>1941</v>
      </c>
      <c r="L95" s="2720"/>
      <c r="M95" s="2720"/>
      <c r="N95" s="2720"/>
      <c r="O95" s="2720"/>
      <c r="P95" s="2720"/>
      <c r="Q95" s="2720"/>
      <c r="R95" s="2721"/>
      <c r="S95" s="994">
        <f>J129+0.01</f>
        <v>11.539999999999988</v>
      </c>
      <c r="T95" s="903" t="s">
        <v>1942</v>
      </c>
      <c r="U95" s="903"/>
      <c r="V95" s="903"/>
      <c r="W95" s="903"/>
      <c r="X95" s="903"/>
      <c r="Y95" s="903"/>
      <c r="Z95" s="903"/>
      <c r="AA95" s="1451"/>
      <c r="AB95" s="41"/>
    </row>
    <row r="96" spans="1:28" ht="13.5">
      <c r="A96" s="688"/>
      <c r="B96" s="919">
        <v>1</v>
      </c>
      <c r="C96" s="269" t="s">
        <v>1943</v>
      </c>
      <c r="D96" s="269"/>
      <c r="E96" s="269"/>
      <c r="F96" s="269"/>
      <c r="G96" s="41"/>
      <c r="H96" s="41"/>
      <c r="I96" s="83"/>
      <c r="J96" s="688"/>
      <c r="K96" s="269">
        <v>1</v>
      </c>
      <c r="L96" s="269" t="s">
        <v>1944</v>
      </c>
      <c r="M96" s="269"/>
      <c r="N96" s="269"/>
      <c r="O96" s="41"/>
      <c r="P96" s="41"/>
      <c r="Q96" s="41"/>
      <c r="R96" s="83"/>
      <c r="S96" s="2736" t="s">
        <v>1945</v>
      </c>
      <c r="T96" s="2716"/>
      <c r="U96" s="2716"/>
      <c r="V96" s="2716"/>
      <c r="W96" s="2716"/>
      <c r="X96" s="114"/>
      <c r="Y96" s="114"/>
      <c r="Z96" s="114"/>
      <c r="AA96" s="29"/>
      <c r="AB96" s="41"/>
    </row>
    <row r="97" spans="1:28" ht="13.5" customHeight="1">
      <c r="A97" s="688"/>
      <c r="B97" s="919">
        <v>2</v>
      </c>
      <c r="C97" s="269" t="s">
        <v>1946</v>
      </c>
      <c r="D97" s="269"/>
      <c r="E97" s="269"/>
      <c r="F97" s="269"/>
      <c r="G97" s="41"/>
      <c r="H97" s="41"/>
      <c r="I97" s="83"/>
      <c r="J97" s="979"/>
      <c r="K97" s="269">
        <v>2</v>
      </c>
      <c r="L97" s="269" t="s">
        <v>1947</v>
      </c>
      <c r="M97" s="616"/>
      <c r="N97" s="269"/>
      <c r="O97" s="41"/>
      <c r="P97" s="41"/>
      <c r="Q97" s="41"/>
      <c r="R97" s="83"/>
      <c r="S97" s="2736" t="s">
        <v>1948</v>
      </c>
      <c r="T97" s="2716"/>
      <c r="U97" s="2716"/>
      <c r="V97" s="2716"/>
      <c r="W97" s="2716"/>
      <c r="X97" s="2716" t="s">
        <v>1949</v>
      </c>
      <c r="Y97" s="2716"/>
      <c r="Z97" s="2716"/>
      <c r="AA97" s="2717"/>
      <c r="AB97" s="41"/>
    </row>
    <row r="98" spans="1:28" ht="13.5">
      <c r="A98" s="688"/>
      <c r="B98" s="919">
        <v>3</v>
      </c>
      <c r="C98" s="269" t="s">
        <v>1950</v>
      </c>
      <c r="D98" s="269"/>
      <c r="E98" s="269"/>
      <c r="F98" s="269"/>
      <c r="G98" s="41"/>
      <c r="H98" s="41"/>
      <c r="I98" s="83"/>
      <c r="J98" s="688"/>
      <c r="K98" s="269">
        <v>3</v>
      </c>
      <c r="L98" s="269" t="s">
        <v>1951</v>
      </c>
      <c r="M98" s="269"/>
      <c r="N98" s="269"/>
      <c r="O98" s="41"/>
      <c r="P98" s="41"/>
      <c r="Q98" s="41"/>
      <c r="R98" s="83"/>
      <c r="S98" s="548" t="s">
        <v>1952</v>
      </c>
      <c r="T98" s="114"/>
      <c r="U98" s="114"/>
      <c r="V98" s="114"/>
      <c r="W98" s="114"/>
      <c r="X98" s="2716" t="s">
        <v>1953</v>
      </c>
      <c r="Y98" s="2716"/>
      <c r="Z98" s="2716"/>
      <c r="AA98" s="2717"/>
      <c r="AB98" s="41"/>
    </row>
    <row r="99" spans="1:28" ht="13.5">
      <c r="A99" s="688"/>
      <c r="B99" s="919">
        <v>4</v>
      </c>
      <c r="C99" s="269" t="s">
        <v>1954</v>
      </c>
      <c r="D99" s="269"/>
      <c r="E99" s="269"/>
      <c r="F99" s="269"/>
      <c r="G99" s="41"/>
      <c r="H99" s="41"/>
      <c r="I99" s="83"/>
      <c r="J99" s="688"/>
      <c r="K99" s="269">
        <v>4</v>
      </c>
      <c r="L99" s="269" t="s">
        <v>1955</v>
      </c>
      <c r="M99" s="269"/>
      <c r="N99" s="269"/>
      <c r="O99" s="41"/>
      <c r="P99" s="41"/>
      <c r="Q99" s="41"/>
      <c r="R99" s="83"/>
      <c r="S99" s="548" t="s">
        <v>1956</v>
      </c>
      <c r="T99" s="269"/>
      <c r="U99" s="526"/>
      <c r="V99" s="269"/>
      <c r="W99" s="269"/>
      <c r="X99" s="526" t="s">
        <v>1957</v>
      </c>
      <c r="Y99" s="526"/>
      <c r="Z99" s="615" t="s">
        <v>1831</v>
      </c>
      <c r="AA99" s="1822">
        <f>S120</f>
        <v>11.589999999999987</v>
      </c>
      <c r="AB99" s="1000"/>
    </row>
    <row r="100" spans="1:28" ht="13.5" customHeight="1">
      <c r="A100" s="688"/>
      <c r="B100" s="919">
        <v>5</v>
      </c>
      <c r="C100" s="269" t="s">
        <v>1958</v>
      </c>
      <c r="D100" s="269"/>
      <c r="E100" s="269"/>
      <c r="F100" s="269"/>
      <c r="G100" s="41"/>
      <c r="H100" s="41"/>
      <c r="I100" s="83"/>
      <c r="J100" s="688"/>
      <c r="K100" s="171">
        <v>5</v>
      </c>
      <c r="L100" s="154" t="s">
        <v>1959</v>
      </c>
      <c r="M100" s="154"/>
      <c r="N100" s="171"/>
      <c r="O100" s="39"/>
      <c r="P100" s="39"/>
      <c r="Q100" s="41"/>
      <c r="R100" s="83"/>
      <c r="S100" s="620" t="s">
        <v>1960</v>
      </c>
      <c r="T100" s="269"/>
      <c r="U100" s="526"/>
      <c r="V100" s="269"/>
      <c r="W100" s="269"/>
      <c r="X100" s="526" t="s">
        <v>1961</v>
      </c>
      <c r="Y100" s="526"/>
      <c r="Z100" s="615" t="s">
        <v>1831</v>
      </c>
      <c r="AA100" s="1822">
        <f>S120</f>
        <v>11.589999999999987</v>
      </c>
      <c r="AB100" s="1000"/>
    </row>
    <row r="101" spans="1:28" ht="13.5" customHeight="1">
      <c r="A101" s="994">
        <f>A95+0.01</f>
        <v>11.419999999999991</v>
      </c>
      <c r="B101" s="2713" t="s">
        <v>1962</v>
      </c>
      <c r="C101" s="2713"/>
      <c r="D101" s="2713"/>
      <c r="E101" s="2713"/>
      <c r="F101" s="2713"/>
      <c r="G101" s="2713"/>
      <c r="H101" s="2713"/>
      <c r="I101" s="2714"/>
      <c r="J101" s="994">
        <f>J95+0.01</f>
        <v>11.48999999999999</v>
      </c>
      <c r="K101" s="2713" t="s">
        <v>1963</v>
      </c>
      <c r="L101" s="2713"/>
      <c r="M101" s="2713"/>
      <c r="N101" s="2713"/>
      <c r="O101" s="2713"/>
      <c r="P101" s="2713"/>
      <c r="Q101" s="2713"/>
      <c r="R101" s="2714"/>
      <c r="S101" s="620" t="s">
        <v>1964</v>
      </c>
      <c r="T101" s="114"/>
      <c r="U101" s="114"/>
      <c r="V101" s="114"/>
      <c r="W101" s="114"/>
      <c r="X101" s="269"/>
      <c r="Y101" s="269"/>
      <c r="Z101" s="615"/>
      <c r="AA101" s="1822"/>
      <c r="AB101" s="41"/>
    </row>
    <row r="102" spans="1:28" ht="13.5" customHeight="1">
      <c r="A102" s="688"/>
      <c r="B102" s="2238"/>
      <c r="C102" s="2238"/>
      <c r="D102" s="2238"/>
      <c r="E102" s="2238"/>
      <c r="F102" s="2238"/>
      <c r="G102" s="2238"/>
      <c r="H102" s="2238"/>
      <c r="I102" s="2237"/>
      <c r="J102" s="688"/>
      <c r="K102" s="2238"/>
      <c r="L102" s="2238"/>
      <c r="M102" s="2238"/>
      <c r="N102" s="2238"/>
      <c r="O102" s="2238"/>
      <c r="P102" s="2238"/>
      <c r="Q102" s="2238"/>
      <c r="R102" s="2237"/>
      <c r="S102" s="621" t="s">
        <v>1965</v>
      </c>
      <c r="T102" s="546"/>
      <c r="U102" s="546"/>
      <c r="V102" s="546"/>
      <c r="W102" s="546"/>
      <c r="X102" s="636"/>
      <c r="Y102" s="2718" t="s">
        <v>1966</v>
      </c>
      <c r="Z102" s="2718"/>
      <c r="AA102" s="2719"/>
      <c r="AB102" s="41"/>
    </row>
    <row r="103" spans="1:28" ht="13.5">
      <c r="A103" s="688"/>
      <c r="B103" s="961"/>
      <c r="C103" s="41">
        <v>1</v>
      </c>
      <c r="D103" s="41" t="s">
        <v>1332</v>
      </c>
      <c r="E103" s="41"/>
      <c r="F103" s="953"/>
      <c r="G103" s="961"/>
      <c r="H103" s="961"/>
      <c r="I103" s="962"/>
      <c r="J103" s="688"/>
      <c r="K103" s="41">
        <v>1</v>
      </c>
      <c r="L103" s="41" t="s">
        <v>1332</v>
      </c>
      <c r="M103" s="41"/>
      <c r="N103" s="41"/>
      <c r="O103" s="41"/>
      <c r="P103" s="837"/>
      <c r="Q103" s="41"/>
      <c r="R103" s="83"/>
      <c r="S103" s="964">
        <f>S95+0.01</f>
        <v>11.549999999999988</v>
      </c>
      <c r="T103" s="2713" t="s">
        <v>1967</v>
      </c>
      <c r="U103" s="2713"/>
      <c r="V103" s="2713"/>
      <c r="W103" s="2713"/>
      <c r="X103" s="2713"/>
      <c r="Y103" s="2713"/>
      <c r="Z103" s="2713"/>
      <c r="AA103" s="2714"/>
      <c r="AB103" s="41"/>
    </row>
    <row r="104" spans="1:28" ht="13.5">
      <c r="A104" s="923"/>
      <c r="B104" s="810"/>
      <c r="C104" s="41">
        <v>2</v>
      </c>
      <c r="D104" s="41" t="str">
        <f>CONCATENATE("Não  ► (",ROUND(A120,2),")")</f>
        <v>Não  ► (11,45)</v>
      </c>
      <c r="E104" s="41"/>
      <c r="F104" s="961"/>
      <c r="G104" s="810"/>
      <c r="H104" s="810"/>
      <c r="I104" s="809"/>
      <c r="J104" s="1007"/>
      <c r="K104" s="41">
        <v>2</v>
      </c>
      <c r="L104" s="41" t="s">
        <v>1333</v>
      </c>
      <c r="M104" s="2725" t="str">
        <f>CONCATENATE("► (",TEXT(ROUND(J119,2),"0,00"),")")</f>
        <v>► (11,52)</v>
      </c>
      <c r="N104" s="2725"/>
      <c r="O104" s="1154"/>
      <c r="P104" s="1154"/>
      <c r="Q104" s="1154"/>
      <c r="R104" s="1155"/>
      <c r="S104" s="41"/>
      <c r="T104" s="41"/>
      <c r="U104" s="41">
        <v>1</v>
      </c>
      <c r="V104" s="41" t="s">
        <v>1332</v>
      </c>
      <c r="W104" s="41"/>
      <c r="X104" s="41"/>
      <c r="Y104" s="41"/>
      <c r="Z104" s="41"/>
      <c r="AA104" s="83"/>
      <c r="AB104" s="41"/>
    </row>
    <row r="105" spans="1:28" ht="13.5" customHeight="1">
      <c r="A105" s="994">
        <f>A101+0.01</f>
        <v>11.429999999999991</v>
      </c>
      <c r="B105" s="2713" t="s">
        <v>1968</v>
      </c>
      <c r="C105" s="2713"/>
      <c r="D105" s="2713"/>
      <c r="E105" s="2713"/>
      <c r="F105" s="2713"/>
      <c r="G105" s="2713"/>
      <c r="H105" s="2713"/>
      <c r="I105" s="2714"/>
      <c r="J105" s="994">
        <f>J101+0.01</f>
        <v>11.499999999999989</v>
      </c>
      <c r="K105" s="2713" t="s">
        <v>1969</v>
      </c>
      <c r="L105" s="2713"/>
      <c r="M105" s="2713"/>
      <c r="N105" s="2713"/>
      <c r="O105" s="2713"/>
      <c r="P105" s="2713"/>
      <c r="Q105" s="2713"/>
      <c r="R105" s="2714"/>
      <c r="S105" s="41"/>
      <c r="T105" s="41"/>
      <c r="U105" s="41">
        <v>2</v>
      </c>
      <c r="V105" s="41" t="s">
        <v>1333</v>
      </c>
      <c r="W105" s="920" t="s">
        <v>1831</v>
      </c>
      <c r="X105" s="936">
        <f>S109</f>
        <v>11.569999999999988</v>
      </c>
      <c r="Y105" s="41"/>
      <c r="Z105" s="41"/>
      <c r="AA105" s="83"/>
      <c r="AB105" s="41"/>
    </row>
    <row r="106" spans="1:28" ht="13.5">
      <c r="A106" s="904"/>
      <c r="B106" s="2238"/>
      <c r="C106" s="2238"/>
      <c r="D106" s="2238"/>
      <c r="E106" s="2238"/>
      <c r="F106" s="2238"/>
      <c r="G106" s="2238"/>
      <c r="H106" s="2238"/>
      <c r="I106" s="2237"/>
      <c r="J106" s="979"/>
      <c r="K106" s="2238"/>
      <c r="L106" s="2238"/>
      <c r="M106" s="2238"/>
      <c r="N106" s="2238"/>
      <c r="O106" s="2238"/>
      <c r="P106" s="2238"/>
      <c r="Q106" s="2238"/>
      <c r="R106" s="2237"/>
      <c r="S106" s="964">
        <f>S103+0.01</f>
        <v>11.559999999999988</v>
      </c>
      <c r="T106" s="903" t="s">
        <v>1970</v>
      </c>
      <c r="U106" s="903"/>
      <c r="V106" s="903"/>
      <c r="W106" s="903"/>
      <c r="X106" s="903"/>
      <c r="Y106" s="903"/>
      <c r="Z106" s="903"/>
      <c r="AA106" s="794"/>
      <c r="AB106" s="41"/>
    </row>
    <row r="107" spans="1:28" ht="13.5">
      <c r="A107" s="904"/>
      <c r="B107" s="961"/>
      <c r="C107" s="961"/>
      <c r="D107" s="41" t="s">
        <v>1857</v>
      </c>
      <c r="E107" s="2715" t="str">
        <f>CONCATENATE("► (",ROUND(A120,2),")")</f>
        <v>► (11,45)</v>
      </c>
      <c r="F107" s="2715"/>
      <c r="G107" s="961"/>
      <c r="H107" s="961"/>
      <c r="I107" s="962"/>
      <c r="J107" s="688"/>
      <c r="K107" s="2238"/>
      <c r="L107" s="2238"/>
      <c r="M107" s="2238"/>
      <c r="N107" s="2238"/>
      <c r="O107" s="2238"/>
      <c r="P107" s="2238"/>
      <c r="Q107" s="2238"/>
      <c r="R107" s="2237"/>
      <c r="S107" s="41"/>
      <c r="T107" s="41"/>
      <c r="U107" s="41" t="s">
        <v>1971</v>
      </c>
      <c r="V107" s="41"/>
      <c r="W107" s="41"/>
      <c r="X107" s="41"/>
      <c r="Y107" s="43"/>
      <c r="Z107" s="947"/>
      <c r="AA107" s="1001"/>
      <c r="AB107" s="41"/>
    </row>
    <row r="108" spans="1:28" ht="13.5">
      <c r="A108" s="904"/>
      <c r="B108" s="961"/>
      <c r="C108" s="961"/>
      <c r="D108" s="41" t="s">
        <v>1859</v>
      </c>
      <c r="E108" s="41"/>
      <c r="F108" s="41"/>
      <c r="G108" s="961"/>
      <c r="H108" s="961"/>
      <c r="I108" s="962"/>
      <c r="J108" s="979"/>
      <c r="K108" s="41">
        <v>1</v>
      </c>
      <c r="L108" s="41" t="str">
        <f>CONCATENATE("Sim ► (",TEXT(ROUND(J119,2),"0,00"),")")</f>
        <v>Sim ► (11,52)</v>
      </c>
      <c r="M108" s="41"/>
      <c r="N108" s="41"/>
      <c r="O108" s="41"/>
      <c r="P108" s="41"/>
      <c r="Q108" s="41"/>
      <c r="R108" s="83"/>
      <c r="S108" s="41"/>
      <c r="T108" s="41"/>
      <c r="Y108" s="947"/>
      <c r="Z108" s="947"/>
      <c r="AA108" s="1001"/>
      <c r="AB108" s="41"/>
    </row>
    <row r="109" spans="1:28" ht="13.5" customHeight="1">
      <c r="A109" s="904"/>
      <c r="B109" s="961"/>
      <c r="C109" s="961"/>
      <c r="D109" s="2715"/>
      <c r="E109" s="2715"/>
      <c r="F109" s="2715"/>
      <c r="G109" s="961"/>
      <c r="H109" s="961"/>
      <c r="I109" s="961"/>
      <c r="J109" s="904"/>
      <c r="K109" s="41">
        <v>2</v>
      </c>
      <c r="L109" s="41" t="s">
        <v>1333</v>
      </c>
      <c r="M109" s="41"/>
      <c r="N109" s="41"/>
      <c r="O109" s="41"/>
      <c r="P109" s="41"/>
      <c r="Q109" s="41"/>
      <c r="R109" s="83"/>
      <c r="S109" s="994">
        <f>S106+0.01</f>
        <v>11.569999999999988</v>
      </c>
      <c r="T109" s="903" t="s">
        <v>1972</v>
      </c>
      <c r="U109" s="903"/>
      <c r="V109" s="903"/>
      <c r="W109" s="903"/>
      <c r="X109" s="903"/>
      <c r="Y109" s="1156"/>
      <c r="Z109" s="1156"/>
      <c r="AA109" s="1157"/>
      <c r="AB109" s="41"/>
    </row>
    <row r="110" spans="1:28" ht="13.5">
      <c r="A110" s="994">
        <f>A105+0.01</f>
        <v>11.439999999999991</v>
      </c>
      <c r="B110" s="2713" t="s">
        <v>1973</v>
      </c>
      <c r="C110" s="2713"/>
      <c r="D110" s="2713"/>
      <c r="E110" s="2713"/>
      <c r="F110" s="2713"/>
      <c r="G110" s="2713"/>
      <c r="H110" s="2713"/>
      <c r="I110" s="2713"/>
      <c r="J110" s="994">
        <f>J105+0.01</f>
        <v>11.509999999999989</v>
      </c>
      <c r="K110" s="1002" t="s">
        <v>1974</v>
      </c>
      <c r="L110" s="1003"/>
      <c r="M110" s="903"/>
      <c r="N110" s="903"/>
      <c r="O110" s="903"/>
      <c r="P110" s="914"/>
      <c r="Q110" s="903"/>
      <c r="R110" s="794"/>
      <c r="S110" s="688"/>
      <c r="T110" s="41" t="str">
        <f>CONCATENATE("1 Esgotos ►", "(",TEXT(S120, "0,00"), ")")</f>
        <v>1 Esgotos ►(11,59)</v>
      </c>
      <c r="U110" s="41"/>
      <c r="V110" s="41"/>
      <c r="W110" s="41"/>
      <c r="X110" s="41" t="str">
        <f>CONCATENATE("6 Rua/pátio/sarjeta/natureza ►", "(",TEXT(S120, "0,00"), ")")</f>
        <v>6 Rua/pátio/sarjeta/natureza ►(11,59)</v>
      </c>
      <c r="Y110" s="947"/>
      <c r="Z110" s="947"/>
      <c r="AA110" s="1001"/>
      <c r="AB110" s="41"/>
    </row>
    <row r="111" spans="1:28" ht="13.5">
      <c r="A111" s="904"/>
      <c r="B111" s="2238"/>
      <c r="C111" s="2238"/>
      <c r="D111" s="2238"/>
      <c r="E111" s="2238"/>
      <c r="F111" s="2238"/>
      <c r="G111" s="2238"/>
      <c r="H111" s="2238"/>
      <c r="I111" s="2238"/>
      <c r="J111" s="904"/>
      <c r="K111" s="926"/>
      <c r="L111" s="906"/>
      <c r="M111" s="41"/>
      <c r="N111" s="41"/>
      <c r="O111" s="41"/>
      <c r="P111" s="926"/>
      <c r="Q111" s="41"/>
      <c r="R111" s="83"/>
      <c r="S111" s="688"/>
      <c r="T111" s="41" t="s">
        <v>1975</v>
      </c>
      <c r="U111" s="41"/>
      <c r="V111" s="41"/>
      <c r="W111" s="41"/>
      <c r="X111" s="41" t="s">
        <v>1976</v>
      </c>
      <c r="Y111" s="947"/>
      <c r="Z111" s="947"/>
      <c r="AA111" s="1001"/>
      <c r="AB111" s="41"/>
    </row>
    <row r="112" spans="1:28" ht="13.5">
      <c r="A112" s="904"/>
      <c r="B112" s="961"/>
      <c r="C112" s="961"/>
      <c r="D112" s="961"/>
      <c r="E112" s="961"/>
      <c r="F112" s="961"/>
      <c r="G112" s="961"/>
      <c r="H112" s="961"/>
      <c r="I112" s="961"/>
      <c r="J112" s="922"/>
      <c r="K112" s="926"/>
      <c r="L112" s="906"/>
      <c r="M112" s="41"/>
      <c r="N112" s="41"/>
      <c r="O112" s="41"/>
      <c r="P112" s="41"/>
      <c r="Q112" s="41"/>
      <c r="R112" s="83"/>
      <c r="S112" s="688"/>
      <c r="T112" s="41" t="s">
        <v>1977</v>
      </c>
      <c r="U112" s="41"/>
      <c r="V112" s="41"/>
      <c r="W112" s="41"/>
      <c r="X112" s="41"/>
      <c r="Y112" s="947"/>
      <c r="Z112" s="947"/>
      <c r="AA112" s="1001"/>
      <c r="AB112" s="41"/>
    </row>
    <row r="113" spans="1:28" ht="13.5">
      <c r="A113" s="904"/>
      <c r="B113" s="961"/>
      <c r="C113" s="961"/>
      <c r="D113" s="41"/>
      <c r="E113" s="2715"/>
      <c r="F113" s="2715"/>
      <c r="G113" s="961"/>
      <c r="H113" s="961"/>
      <c r="I113" s="961"/>
      <c r="J113" s="922"/>
      <c r="K113" s="926"/>
      <c r="L113" s="906"/>
      <c r="M113" s="41"/>
      <c r="N113" s="41"/>
      <c r="O113" s="41"/>
      <c r="P113" s="41"/>
      <c r="Q113" s="41"/>
      <c r="R113" s="83"/>
      <c r="S113" s="688"/>
      <c r="T113" s="41" t="s">
        <v>1978</v>
      </c>
      <c r="U113" s="41"/>
      <c r="V113" s="41"/>
      <c r="W113" s="41"/>
      <c r="X113" s="41"/>
      <c r="Y113" s="947"/>
      <c r="Z113" s="947"/>
      <c r="AA113" s="1001"/>
      <c r="AB113" s="41"/>
    </row>
    <row r="114" spans="1:28" ht="13.5" customHeight="1">
      <c r="A114" s="904"/>
      <c r="J114" s="922"/>
      <c r="K114" s="921" t="s">
        <v>1873</v>
      </c>
      <c r="L114" s="934"/>
      <c r="M114" s="919"/>
      <c r="N114" s="41"/>
      <c r="O114" s="41"/>
      <c r="P114" s="41"/>
      <c r="Q114" s="41"/>
      <c r="R114" s="83"/>
      <c r="S114" s="688"/>
      <c r="T114" s="41" t="s">
        <v>1979</v>
      </c>
      <c r="U114" s="41"/>
      <c r="V114" s="41"/>
      <c r="W114" s="41"/>
      <c r="X114" s="41"/>
      <c r="Y114" s="947"/>
      <c r="Z114" s="947"/>
      <c r="AA114" s="1001"/>
      <c r="AB114" s="41"/>
    </row>
    <row r="115" spans="1:28" ht="13.5">
      <c r="A115" s="904"/>
      <c r="B115" s="921" t="s">
        <v>1873</v>
      </c>
      <c r="C115" s="934"/>
      <c r="D115" s="919"/>
      <c r="E115" s="41"/>
      <c r="F115" s="41"/>
      <c r="G115" s="961"/>
      <c r="H115" s="961"/>
      <c r="I115" s="961"/>
      <c r="J115" s="922"/>
      <c r="K115" s="41" t="s">
        <v>1874</v>
      </c>
      <c r="L115" s="889"/>
      <c r="O115" s="41"/>
      <c r="P115" s="41"/>
      <c r="Q115" s="41"/>
      <c r="R115" s="83"/>
      <c r="S115" s="964">
        <f>S109+0.01</f>
        <v>11.579999999999988</v>
      </c>
      <c r="T115" s="2713" t="s">
        <v>1980</v>
      </c>
      <c r="U115" s="2713"/>
      <c r="V115" s="2713"/>
      <c r="W115" s="2713"/>
      <c r="X115" s="2713"/>
      <c r="Y115" s="2713"/>
      <c r="Z115" s="2713"/>
      <c r="AA115" s="2714"/>
      <c r="AB115" s="41"/>
    </row>
    <row r="116" spans="1:28" ht="13.5" customHeight="1">
      <c r="A116" s="904"/>
      <c r="B116" s="41" t="s">
        <v>1874</v>
      </c>
      <c r="C116" s="889"/>
      <c r="F116" s="41"/>
      <c r="G116" s="961"/>
      <c r="H116" s="961"/>
      <c r="I116" s="961"/>
      <c r="J116" s="922"/>
      <c r="K116" s="41" t="s">
        <v>1876</v>
      </c>
      <c r="L116" s="889"/>
      <c r="O116" s="41"/>
      <c r="P116" s="41"/>
      <c r="Q116" s="41"/>
      <c r="R116" s="83"/>
      <c r="S116" s="41"/>
      <c r="T116" s="2238"/>
      <c r="U116" s="2238"/>
      <c r="V116" s="2238"/>
      <c r="W116" s="2238"/>
      <c r="X116" s="2238"/>
      <c r="Y116" s="2238"/>
      <c r="Z116" s="2238"/>
      <c r="AA116" s="2237"/>
      <c r="AB116" s="41"/>
    </row>
    <row r="117" spans="1:28" ht="13.5">
      <c r="A117" s="904"/>
      <c r="B117" s="41" t="s">
        <v>1876</v>
      </c>
      <c r="C117" s="889"/>
      <c r="F117" s="41"/>
      <c r="G117" s="961"/>
      <c r="H117" s="961"/>
      <c r="I117" s="961"/>
      <c r="J117" s="922"/>
      <c r="K117" s="41" t="s">
        <v>1877</v>
      </c>
      <c r="L117" s="889"/>
      <c r="O117" s="41"/>
      <c r="P117" s="41"/>
      <c r="Q117" s="41"/>
      <c r="R117" s="83"/>
      <c r="S117" s="907">
        <v>1</v>
      </c>
      <c r="T117" s="906" t="s">
        <v>1981</v>
      </c>
      <c r="U117" s="906"/>
      <c r="V117" s="41"/>
      <c r="W117" s="892"/>
      <c r="X117" s="41">
        <v>4</v>
      </c>
      <c r="Y117" s="41" t="s">
        <v>1982</v>
      </c>
      <c r="Z117" s="41"/>
      <c r="AA117" s="83"/>
      <c r="AB117" s="41"/>
    </row>
    <row r="118" spans="1:28" ht="13.5">
      <c r="A118" s="904"/>
      <c r="B118" s="41" t="s">
        <v>1877</v>
      </c>
      <c r="C118" s="889"/>
      <c r="F118" s="41"/>
      <c r="G118" s="961"/>
      <c r="H118" s="961"/>
      <c r="I118" s="961"/>
      <c r="J118" s="979"/>
      <c r="K118" s="810" t="s">
        <v>1899</v>
      </c>
      <c r="L118" s="687"/>
      <c r="M118" s="687"/>
      <c r="N118" s="687"/>
      <c r="O118" s="810"/>
      <c r="P118" s="41"/>
      <c r="Q118" s="41"/>
      <c r="R118" s="83"/>
      <c r="S118" s="907">
        <v>2</v>
      </c>
      <c r="T118" s="906" t="s">
        <v>1983</v>
      </c>
      <c r="U118" s="906"/>
      <c r="V118" s="41"/>
      <c r="W118" s="892"/>
      <c r="X118" s="907" t="s">
        <v>1984</v>
      </c>
      <c r="Y118" s="906" t="s">
        <v>1786</v>
      </c>
      <c r="Z118" s="41"/>
      <c r="AA118" s="83"/>
      <c r="AB118" s="41"/>
    </row>
    <row r="119" spans="1:28" ht="13.5">
      <c r="B119" s="810" t="s">
        <v>1899</v>
      </c>
      <c r="C119" s="687"/>
      <c r="D119" s="687"/>
      <c r="E119" s="687"/>
      <c r="F119" s="810"/>
      <c r="G119" s="961"/>
      <c r="H119" s="961"/>
      <c r="I119" s="962"/>
      <c r="J119" s="994">
        <f>J110+0.01</f>
        <v>11.519999999999989</v>
      </c>
      <c r="K119" s="903" t="s">
        <v>1985</v>
      </c>
      <c r="L119" s="903"/>
      <c r="M119" s="903"/>
      <c r="N119" s="903"/>
      <c r="O119" s="903"/>
      <c r="P119" s="903"/>
      <c r="Q119" s="903"/>
      <c r="R119" s="794"/>
      <c r="S119" s="907">
        <v>3</v>
      </c>
      <c r="T119" s="906" t="s">
        <v>1986</v>
      </c>
      <c r="U119" s="906"/>
      <c r="V119" s="41"/>
      <c r="W119" s="892"/>
      <c r="X119" s="41"/>
      <c r="Y119" s="41"/>
      <c r="Z119" s="41"/>
      <c r="AA119" s="83"/>
      <c r="AB119" s="41"/>
    </row>
    <row r="120" spans="1:28" ht="13.5" customHeight="1">
      <c r="A120" s="994">
        <f>A110+0.01</f>
        <v>11.44999999999999</v>
      </c>
      <c r="B120" s="2720" t="s">
        <v>1987</v>
      </c>
      <c r="C120" s="2720"/>
      <c r="D120" s="2720"/>
      <c r="E120" s="2720"/>
      <c r="F120" s="2720"/>
      <c r="G120" s="2720"/>
      <c r="H120" s="2720"/>
      <c r="I120" s="2721"/>
      <c r="J120" s="904"/>
      <c r="K120" s="41" t="s">
        <v>1988</v>
      </c>
      <c r="L120" s="41"/>
      <c r="M120" s="41"/>
      <c r="N120" s="41"/>
      <c r="O120" s="41"/>
      <c r="P120" s="926"/>
      <c r="Q120" s="41"/>
      <c r="R120" s="83"/>
      <c r="S120" s="946">
        <f>S115+0.01</f>
        <v>11.589999999999987</v>
      </c>
      <c r="T120" s="2722" t="s">
        <v>1989</v>
      </c>
      <c r="U120" s="2722"/>
      <c r="V120" s="2722"/>
      <c r="W120" s="2722"/>
      <c r="X120" s="2722"/>
      <c r="Y120" s="2722"/>
      <c r="Z120" s="2722"/>
      <c r="AA120" s="2723"/>
      <c r="AB120" s="41"/>
    </row>
    <row r="121" spans="1:28" ht="13.5">
      <c r="A121" s="979"/>
      <c r="B121" s="41">
        <v>1</v>
      </c>
      <c r="C121" s="41" t="s">
        <v>1332</v>
      </c>
      <c r="D121" s="41"/>
      <c r="E121" s="41"/>
      <c r="F121" s="41"/>
      <c r="G121" s="907"/>
      <c r="H121" s="936"/>
      <c r="I121" s="908"/>
      <c r="J121" s="904"/>
      <c r="K121" s="926">
        <v>1</v>
      </c>
      <c r="L121" s="114" t="s">
        <v>1990</v>
      </c>
      <c r="M121" s="269"/>
      <c r="N121" s="41"/>
      <c r="O121" s="41">
        <v>1</v>
      </c>
      <c r="P121" s="926"/>
      <c r="Q121" s="41"/>
      <c r="R121" s="83"/>
      <c r="S121" s="936"/>
      <c r="T121" s="2471"/>
      <c r="U121" s="2471"/>
      <c r="V121" s="2471"/>
      <c r="W121" s="2471"/>
      <c r="X121" s="2471"/>
      <c r="Y121" s="2471"/>
      <c r="Z121" s="2471"/>
      <c r="AA121" s="2472"/>
      <c r="AB121" s="41"/>
    </row>
    <row r="122" spans="1:28" ht="13.5">
      <c r="A122" s="923"/>
      <c r="B122" s="810">
        <v>2</v>
      </c>
      <c r="C122" s="810" t="str">
        <f>CONCATENATE("Não  ► (",ROUND(J101,2),")")</f>
        <v>Não  ► (11,49)</v>
      </c>
      <c r="D122" s="911"/>
      <c r="E122" s="810"/>
      <c r="F122" s="810"/>
      <c r="G122" s="810"/>
      <c r="H122" s="810"/>
      <c r="I122" s="1004"/>
      <c r="J122" s="922"/>
      <c r="K122" s="926">
        <v>2</v>
      </c>
      <c r="L122" s="114" t="s">
        <v>1444</v>
      </c>
      <c r="M122" s="269"/>
      <c r="N122" s="41"/>
      <c r="O122" s="41"/>
      <c r="P122" s="41"/>
      <c r="Q122" s="41"/>
      <c r="R122" s="83"/>
      <c r="S122" s="41"/>
      <c r="T122" s="41">
        <v>1</v>
      </c>
      <c r="U122" s="269" t="s">
        <v>1991</v>
      </c>
      <c r="V122" s="635"/>
      <c r="W122" s="269"/>
      <c r="X122" s="41"/>
      <c r="Y122" s="41" t="s">
        <v>758</v>
      </c>
      <c r="AA122" s="83"/>
      <c r="AB122" s="41"/>
    </row>
    <row r="123" spans="1:28" ht="13.5" customHeight="1">
      <c r="A123" s="994">
        <f>A120+0.01</f>
        <v>11.45999999999999</v>
      </c>
      <c r="B123" s="2722" t="s">
        <v>1992</v>
      </c>
      <c r="C123" s="2722"/>
      <c r="D123" s="2722"/>
      <c r="E123" s="2722"/>
      <c r="F123" s="2722"/>
      <c r="G123" s="2722"/>
      <c r="H123" s="2722"/>
      <c r="I123" s="2723"/>
      <c r="J123" s="979"/>
      <c r="K123" s="926">
        <v>3</v>
      </c>
      <c r="L123" s="114" t="s">
        <v>1993</v>
      </c>
      <c r="M123" s="269"/>
      <c r="N123" s="41"/>
      <c r="O123" s="43"/>
      <c r="P123" s="43"/>
      <c r="Q123" s="43"/>
      <c r="R123" s="45"/>
      <c r="S123" s="41"/>
      <c r="T123" s="41">
        <v>2</v>
      </c>
      <c r="U123" s="269" t="s">
        <v>1994</v>
      </c>
      <c r="V123" s="635"/>
      <c r="W123" s="269"/>
      <c r="X123" s="41"/>
      <c r="Y123" s="41"/>
      <c r="Z123" s="41"/>
      <c r="AA123" s="83"/>
      <c r="AB123" s="41"/>
    </row>
    <row r="124" spans="1:28" ht="13.5" customHeight="1">
      <c r="A124" s="904"/>
      <c r="B124" s="2471"/>
      <c r="C124" s="2471"/>
      <c r="D124" s="2471"/>
      <c r="E124" s="2471"/>
      <c r="F124" s="2471"/>
      <c r="G124" s="2471"/>
      <c r="H124" s="2471"/>
      <c r="I124" s="2472"/>
      <c r="J124" s="688"/>
      <c r="K124" s="926">
        <v>4</v>
      </c>
      <c r="L124" s="114" t="s">
        <v>1995</v>
      </c>
      <c r="M124" s="269"/>
      <c r="N124" s="41"/>
      <c r="O124" s="43"/>
      <c r="P124" s="43"/>
      <c r="Q124" s="43"/>
      <c r="R124" s="45"/>
      <c r="S124" s="41"/>
      <c r="T124" s="41">
        <v>3</v>
      </c>
      <c r="U124" s="269" t="s">
        <v>1996</v>
      </c>
      <c r="V124" s="635"/>
      <c r="W124" s="269"/>
      <c r="X124" s="41"/>
      <c r="Y124" s="41"/>
      <c r="Z124" s="41"/>
      <c r="AA124" s="83"/>
      <c r="AB124" s="41"/>
    </row>
    <row r="125" spans="1:28" ht="13.5" customHeight="1">
      <c r="A125" s="688"/>
      <c r="B125" s="41">
        <v>1</v>
      </c>
      <c r="C125" s="41" t="str">
        <f>CONCATENATE("Sim  ► (",TEXT(ROUND(J95,2),"0,00"),")")</f>
        <v>Sim  ► (11,48)</v>
      </c>
      <c r="D125" s="41"/>
      <c r="J125" s="688"/>
      <c r="K125" s="926">
        <v>5</v>
      </c>
      <c r="L125" s="114" t="s">
        <v>1997</v>
      </c>
      <c r="M125" s="269"/>
      <c r="N125" s="41"/>
      <c r="O125" s="953"/>
      <c r="P125" s="953"/>
      <c r="Q125" s="953"/>
      <c r="R125" s="954"/>
      <c r="S125" s="41"/>
      <c r="T125" s="41">
        <v>4</v>
      </c>
      <c r="U125" s="269" t="s">
        <v>1998</v>
      </c>
      <c r="V125" s="635"/>
      <c r="W125" s="269"/>
      <c r="X125" s="41"/>
      <c r="Y125" s="41"/>
      <c r="Z125" s="41"/>
      <c r="AA125" s="83"/>
      <c r="AB125" s="41"/>
    </row>
    <row r="126" spans="1:28" ht="13.5" customHeight="1">
      <c r="A126" s="979"/>
      <c r="B126" s="41">
        <v>2</v>
      </c>
      <c r="C126" s="41" t="s">
        <v>1999</v>
      </c>
      <c r="D126" s="41"/>
      <c r="E126" s="41"/>
      <c r="F126" s="41"/>
      <c r="G126" s="41"/>
      <c r="H126" s="41"/>
      <c r="I126" s="83"/>
      <c r="J126" s="688"/>
      <c r="K126" s="926">
        <v>6</v>
      </c>
      <c r="L126" s="114" t="s">
        <v>2000</v>
      </c>
      <c r="M126" s="269"/>
      <c r="N126" s="41"/>
      <c r="O126" s="41">
        <v>2</v>
      </c>
      <c r="P126" s="953"/>
      <c r="Q126" s="953"/>
      <c r="R126" s="954"/>
      <c r="S126" s="902">
        <f>ROUND(S120,2)+0.01</f>
        <v>11.6</v>
      </c>
      <c r="T126" s="2713" t="s">
        <v>2001</v>
      </c>
      <c r="U126" s="2713"/>
      <c r="V126" s="2713"/>
      <c r="W126" s="2713"/>
      <c r="X126" s="2713"/>
      <c r="Y126" s="2713"/>
      <c r="Z126" s="2713"/>
      <c r="AA126" s="2714"/>
      <c r="AB126" s="41"/>
    </row>
    <row r="127" spans="1:28" ht="13.5" customHeight="1">
      <c r="A127" s="688"/>
      <c r="B127" s="41"/>
      <c r="C127" s="41"/>
      <c r="D127" s="41"/>
      <c r="E127" s="41"/>
      <c r="F127" s="41"/>
      <c r="G127" s="41"/>
      <c r="H127" s="43"/>
      <c r="I127" s="45"/>
      <c r="J127" s="688"/>
      <c r="K127" s="926">
        <v>7</v>
      </c>
      <c r="L127" s="114" t="s">
        <v>1852</v>
      </c>
      <c r="M127" s="269"/>
      <c r="N127" s="41"/>
      <c r="O127" s="41"/>
      <c r="P127" s="41"/>
      <c r="Q127" s="41"/>
      <c r="R127" s="83"/>
      <c r="S127" s="688"/>
      <c r="T127" s="2238"/>
      <c r="U127" s="2238"/>
      <c r="V127" s="2238"/>
      <c r="W127" s="2238"/>
      <c r="X127" s="2238"/>
      <c r="Y127" s="2238"/>
      <c r="Z127" s="2238"/>
      <c r="AA127" s="2237"/>
      <c r="AB127" s="41"/>
    </row>
    <row r="128" spans="1:28" ht="13.5">
      <c r="A128" s="994">
        <f>A123+0.01</f>
        <v>11.46999999999999</v>
      </c>
      <c r="B128" s="2713" t="s">
        <v>2002</v>
      </c>
      <c r="C128" s="2713"/>
      <c r="D128" s="2713"/>
      <c r="E128" s="2713"/>
      <c r="F128" s="2713"/>
      <c r="G128" s="2713"/>
      <c r="H128" s="2713"/>
      <c r="I128" s="2714"/>
      <c r="J128" s="923"/>
      <c r="K128" s="963">
        <v>8</v>
      </c>
      <c r="L128" s="546" t="s">
        <v>1786</v>
      </c>
      <c r="M128" s="446"/>
      <c r="N128" s="810"/>
      <c r="O128" s="810"/>
      <c r="P128" s="810"/>
      <c r="Q128" s="810"/>
      <c r="R128" s="809"/>
      <c r="S128" s="892"/>
      <c r="T128" s="32" t="s">
        <v>2003</v>
      </c>
      <c r="U128" s="635"/>
      <c r="V128" s="171"/>
      <c r="W128" s="171"/>
      <c r="X128" s="171"/>
      <c r="Y128" s="39"/>
      <c r="Z128" s="39"/>
      <c r="AA128" s="908"/>
      <c r="AB128" s="41"/>
    </row>
    <row r="129" spans="1:28" ht="13.5" customHeight="1">
      <c r="A129" s="688"/>
      <c r="B129" s="2238"/>
      <c r="C129" s="2238"/>
      <c r="D129" s="2238"/>
      <c r="E129" s="2238"/>
      <c r="F129" s="2238"/>
      <c r="G129" s="2238"/>
      <c r="H129" s="2238"/>
      <c r="I129" s="2237"/>
      <c r="J129" s="994">
        <f>J119+0.01</f>
        <v>11.529999999999989</v>
      </c>
      <c r="K129" s="2722" t="s">
        <v>2004</v>
      </c>
      <c r="L129" s="2722"/>
      <c r="M129" s="2722"/>
      <c r="N129" s="2722"/>
      <c r="O129" s="2722"/>
      <c r="P129" s="2722"/>
      <c r="Q129" s="2722"/>
      <c r="R129" s="2723"/>
      <c r="S129" s="892"/>
      <c r="T129" s="633" t="s">
        <v>2005</v>
      </c>
      <c r="U129" s="635"/>
      <c r="V129" s="114"/>
      <c r="W129" s="114"/>
      <c r="X129" s="114"/>
      <c r="Y129" s="906"/>
      <c r="Z129" s="906"/>
      <c r="AA129" s="1005"/>
      <c r="AB129" s="41"/>
    </row>
    <row r="130" spans="1:28" ht="13.5" customHeight="1">
      <c r="A130" s="688"/>
      <c r="B130" s="41"/>
      <c r="C130" s="41"/>
      <c r="D130" s="41"/>
      <c r="E130" s="41"/>
      <c r="F130" s="41"/>
      <c r="G130" s="41"/>
      <c r="H130" s="41"/>
      <c r="I130" s="83"/>
      <c r="J130" s="979"/>
      <c r="K130" s="43"/>
      <c r="L130" s="43"/>
      <c r="M130" s="43"/>
      <c r="N130" s="43"/>
      <c r="O130" s="43"/>
      <c r="P130" s="43"/>
      <c r="Q130" s="43"/>
      <c r="R130" s="45"/>
      <c r="S130" s="892"/>
      <c r="T130" s="633" t="s">
        <v>2006</v>
      </c>
      <c r="U130" s="635"/>
      <c r="V130" s="114"/>
      <c r="W130" s="635"/>
      <c r="X130" s="635"/>
      <c r="AA130" s="1005"/>
      <c r="AB130" s="41"/>
    </row>
    <row r="131" spans="1:28" ht="13.5" customHeight="1">
      <c r="A131" s="688"/>
      <c r="B131" s="921"/>
      <c r="C131" s="934"/>
      <c r="D131" s="919"/>
      <c r="E131" s="41"/>
      <c r="F131" s="41"/>
      <c r="G131" s="41"/>
      <c r="H131" s="41"/>
      <c r="I131" s="83"/>
      <c r="J131" s="688"/>
      <c r="K131" s="919">
        <v>1</v>
      </c>
      <c r="L131" s="114" t="s">
        <v>2007</v>
      </c>
      <c r="M131" s="114"/>
      <c r="N131" s="114"/>
      <c r="O131" s="614">
        <v>5</v>
      </c>
      <c r="P131" s="114" t="s">
        <v>2008</v>
      </c>
      <c r="Q131" s="632"/>
      <c r="R131" s="172"/>
      <c r="S131" s="892"/>
      <c r="T131" s="25" t="s">
        <v>2009</v>
      </c>
      <c r="U131" s="635"/>
      <c r="V131" s="114"/>
      <c r="W131" s="114"/>
      <c r="X131" s="549"/>
      <c r="Y131" s="982"/>
      <c r="Z131" s="906"/>
      <c r="AA131" s="908"/>
      <c r="AB131" s="41"/>
    </row>
    <row r="132" spans="1:28" ht="13.5" customHeight="1">
      <c r="A132" s="688"/>
      <c r="B132" s="618" t="s">
        <v>1873</v>
      </c>
      <c r="C132" s="865"/>
      <c r="D132" s="614"/>
      <c r="E132" s="269"/>
      <c r="F132" s="269"/>
      <c r="G132" s="269"/>
      <c r="H132" s="41"/>
      <c r="I132" s="83"/>
      <c r="J132" s="688"/>
      <c r="K132" s="919">
        <v>2</v>
      </c>
      <c r="L132" s="114" t="s">
        <v>2010</v>
      </c>
      <c r="M132" s="114"/>
      <c r="N132" s="114"/>
      <c r="O132" s="614">
        <v>6</v>
      </c>
      <c r="P132" s="114" t="s">
        <v>1786</v>
      </c>
      <c r="Q132" s="632"/>
      <c r="R132" s="849"/>
      <c r="S132" s="892"/>
      <c r="T132" s="303" t="s">
        <v>2011</v>
      </c>
      <c r="U132" s="635"/>
      <c r="V132" s="171"/>
      <c r="W132" s="171"/>
      <c r="X132" s="171"/>
      <c r="Y132" s="39"/>
      <c r="Z132" s="39"/>
      <c r="AA132" s="908"/>
      <c r="AB132" s="41"/>
    </row>
    <row r="133" spans="1:28" ht="13.5">
      <c r="A133" s="688"/>
      <c r="B133" s="269" t="s">
        <v>1874</v>
      </c>
      <c r="C133" s="634"/>
      <c r="D133" s="635"/>
      <c r="E133" s="635"/>
      <c r="F133" s="41" t="s">
        <v>1877</v>
      </c>
      <c r="G133" s="171"/>
      <c r="H133" s="41"/>
      <c r="I133" s="1006"/>
      <c r="J133" s="688"/>
      <c r="K133" s="919">
        <v>3</v>
      </c>
      <c r="L133" s="114" t="s">
        <v>2012</v>
      </c>
      <c r="M133" s="632"/>
      <c r="N133" s="632"/>
      <c r="O133" s="616"/>
      <c r="P133" s="269"/>
      <c r="Q133" s="269"/>
      <c r="R133" s="29"/>
      <c r="S133" s="892"/>
      <c r="T133" s="303" t="s">
        <v>2013</v>
      </c>
      <c r="U133" s="635"/>
      <c r="V133" s="479"/>
      <c r="W133" s="269"/>
      <c r="X133" s="269"/>
      <c r="Y133" s="41"/>
      <c r="Z133" s="41"/>
      <c r="AA133" s="83"/>
      <c r="AB133" s="41"/>
    </row>
    <row r="134" spans="1:28" ht="13.5" customHeight="1">
      <c r="A134" s="688"/>
      <c r="B134" s="269" t="s">
        <v>1876</v>
      </c>
      <c r="C134" s="634"/>
      <c r="D134" s="635"/>
      <c r="E134" s="635"/>
      <c r="F134" s="269" t="s">
        <v>1899</v>
      </c>
      <c r="G134" s="269"/>
      <c r="H134" s="41"/>
      <c r="I134" s="83"/>
      <c r="J134" s="688"/>
      <c r="K134" s="919">
        <v>4</v>
      </c>
      <c r="L134" s="114" t="s">
        <v>2014</v>
      </c>
      <c r="M134" s="632"/>
      <c r="N134" s="632"/>
      <c r="O134" s="269"/>
      <c r="P134" s="269"/>
      <c r="Q134" s="269"/>
      <c r="R134" s="29"/>
      <c r="S134" s="892"/>
      <c r="T134" s="303" t="s">
        <v>2015</v>
      </c>
      <c r="U134" s="635"/>
      <c r="V134" s="479"/>
      <c r="W134" s="269"/>
      <c r="X134" s="269"/>
      <c r="Y134" s="41"/>
      <c r="Z134" s="41"/>
      <c r="AA134" s="83"/>
      <c r="AB134" s="41"/>
    </row>
    <row r="135" spans="1:28" ht="13.5">
      <c r="A135" s="1007"/>
      <c r="B135" s="917"/>
      <c r="C135" s="917"/>
      <c r="D135" s="916"/>
      <c r="E135" s="916"/>
      <c r="F135" s="810"/>
      <c r="G135" s="1008"/>
      <c r="H135" s="1008"/>
      <c r="I135" s="809"/>
      <c r="J135" s="923"/>
      <c r="K135" s="916"/>
      <c r="L135" s="636"/>
      <c r="M135" s="636"/>
      <c r="N135" s="550"/>
      <c r="O135" s="446"/>
      <c r="P135" s="446"/>
      <c r="Q135" s="446"/>
      <c r="R135" s="448"/>
      <c r="S135" s="892"/>
      <c r="T135" s="343" t="s">
        <v>2016</v>
      </c>
      <c r="U135" s="636"/>
      <c r="V135" s="446"/>
      <c r="W135" s="446"/>
      <c r="X135" s="446"/>
      <c r="Y135" s="810"/>
      <c r="Z135" s="810"/>
      <c r="AA135" s="809"/>
      <c r="AB135" s="41"/>
    </row>
    <row r="136" spans="1:28" ht="13.5" customHeight="1">
      <c r="A136" s="983" t="str">
        <f>CONCATENATE(S126, "0", "a")</f>
        <v>11,60a</v>
      </c>
      <c r="B136" s="2724" t="s">
        <v>2017</v>
      </c>
      <c r="C136" s="2724"/>
      <c r="D136" s="2724"/>
      <c r="E136" s="2724"/>
      <c r="F136" s="2724"/>
      <c r="G136" s="2724"/>
      <c r="H136" s="2724"/>
      <c r="I136" s="2724"/>
      <c r="J136" s="902" t="str">
        <f>CONCATENATE(S126, "0", "b")</f>
        <v>11,60b</v>
      </c>
      <c r="K136" s="2713" t="s">
        <v>2018</v>
      </c>
      <c r="L136" s="2713"/>
      <c r="M136" s="2713"/>
      <c r="N136" s="2713"/>
      <c r="O136" s="2713"/>
      <c r="P136" s="2713"/>
      <c r="Q136" s="2713"/>
      <c r="R136" s="2714"/>
      <c r="S136" s="1158" t="str">
        <f>CONCATENATE(S126, "0", "c")</f>
        <v>11,60c</v>
      </c>
      <c r="T136" s="2709" t="s">
        <v>2019</v>
      </c>
      <c r="U136" s="2709"/>
      <c r="V136" s="2709"/>
      <c r="W136" s="2709"/>
      <c r="X136" s="2709"/>
      <c r="Y136" s="2709"/>
      <c r="Z136" s="2709"/>
      <c r="AA136" s="2710"/>
      <c r="AB136" s="41"/>
    </row>
    <row r="137" spans="1:28" ht="13.5" customHeight="1">
      <c r="A137" s="1052"/>
      <c r="B137" s="2238"/>
      <c r="C137" s="2238"/>
      <c r="D137" s="2238"/>
      <c r="E137" s="2238"/>
      <c r="F137" s="2238"/>
      <c r="G137" s="2238"/>
      <c r="H137" s="2238"/>
      <c r="I137" s="2238"/>
      <c r="J137" s="904"/>
      <c r="K137" s="2238"/>
      <c r="L137" s="2238"/>
      <c r="M137" s="2238"/>
      <c r="N137" s="2238"/>
      <c r="O137" s="2238"/>
      <c r="P137" s="2238"/>
      <c r="Q137" s="2238"/>
      <c r="R137" s="2237"/>
      <c r="S137" s="936"/>
      <c r="T137" s="2711"/>
      <c r="U137" s="2711"/>
      <c r="V137" s="2711"/>
      <c r="W137" s="2711"/>
      <c r="X137" s="2711"/>
      <c r="Y137" s="2711"/>
      <c r="Z137" s="2711"/>
      <c r="AA137" s="2712"/>
      <c r="AB137" s="41"/>
    </row>
    <row r="138" spans="1:28" ht="13.5">
      <c r="A138" s="1052"/>
      <c r="F138" s="41"/>
      <c r="G138" s="41"/>
      <c r="H138" s="41"/>
      <c r="I138" s="41"/>
      <c r="J138" s="904"/>
      <c r="K138" s="2238"/>
      <c r="L138" s="2238"/>
      <c r="M138" s="2238"/>
      <c r="N138" s="2238"/>
      <c r="O138" s="2238"/>
      <c r="P138" s="2238"/>
      <c r="Q138" s="2238"/>
      <c r="R138" s="2237"/>
      <c r="S138" s="41"/>
      <c r="T138" s="41" t="s">
        <v>2020</v>
      </c>
      <c r="U138" s="41"/>
      <c r="V138" s="41"/>
      <c r="W138" s="41"/>
      <c r="X138" s="41"/>
      <c r="Y138" s="39"/>
      <c r="Z138" s="39"/>
      <c r="AA138" s="975"/>
      <c r="AB138" s="41"/>
    </row>
    <row r="139" spans="1:28" ht="13.5" customHeight="1">
      <c r="A139" s="1052"/>
      <c r="B139" s="41" t="s">
        <v>2021</v>
      </c>
      <c r="C139" s="920"/>
      <c r="D139" s="41"/>
      <c r="E139" s="41"/>
      <c r="F139" s="41"/>
      <c r="G139" s="41"/>
      <c r="H139" s="41"/>
      <c r="I139" s="41"/>
      <c r="J139" s="922"/>
      <c r="K139" s="41" t="s">
        <v>2022</v>
      </c>
      <c r="L139" s="906"/>
      <c r="M139" s="41"/>
      <c r="N139" s="41"/>
      <c r="O139" s="41"/>
      <c r="P139" s="41"/>
      <c r="Q139" s="41"/>
      <c r="R139" s="83"/>
      <c r="S139" s="41"/>
      <c r="T139" s="41" t="s">
        <v>2023</v>
      </c>
      <c r="U139" s="41"/>
      <c r="V139" s="41"/>
      <c r="W139" s="41"/>
      <c r="X139" s="41"/>
      <c r="Y139" s="41"/>
      <c r="Z139" s="41"/>
      <c r="AA139" s="972"/>
      <c r="AB139" s="41"/>
    </row>
    <row r="140" spans="1:28" ht="13.5" customHeight="1">
      <c r="A140" s="1052"/>
      <c r="B140" s="41" t="s">
        <v>2024</v>
      </c>
      <c r="C140" s="41"/>
      <c r="D140" s="41"/>
      <c r="E140" s="41"/>
      <c r="F140" s="41"/>
      <c r="G140" s="41"/>
      <c r="H140" s="41"/>
      <c r="I140" s="41"/>
      <c r="J140" s="904"/>
      <c r="K140" s="2471" t="s">
        <v>2025</v>
      </c>
      <c r="L140" s="2471"/>
      <c r="M140" s="2471"/>
      <c r="N140" s="2471"/>
      <c r="O140" s="2471"/>
      <c r="P140" s="2471"/>
      <c r="Q140" s="2471"/>
      <c r="R140" s="83"/>
      <c r="S140" s="41"/>
      <c r="T140" s="41" t="s">
        <v>2026</v>
      </c>
      <c r="U140" s="41"/>
      <c r="V140" s="41"/>
      <c r="W140" s="41"/>
      <c r="X140" s="41"/>
      <c r="Y140" s="41"/>
      <c r="Z140" s="41"/>
      <c r="AA140" s="972"/>
      <c r="AB140" s="41"/>
    </row>
    <row r="141" spans="1:28" ht="16.5" customHeight="1">
      <c r="A141" s="1052"/>
      <c r="B141" s="41" t="s">
        <v>2027</v>
      </c>
      <c r="C141" s="41"/>
      <c r="D141" s="41"/>
      <c r="E141" s="41"/>
      <c r="F141" s="41"/>
      <c r="G141" s="41"/>
      <c r="H141" s="41"/>
      <c r="I141" s="41"/>
      <c r="J141" s="904"/>
      <c r="K141" s="2471"/>
      <c r="L141" s="2471"/>
      <c r="M141" s="2471"/>
      <c r="N141" s="2471"/>
      <c r="O141" s="2471"/>
      <c r="P141" s="2471"/>
      <c r="Q141" s="2471"/>
      <c r="R141" s="83"/>
      <c r="S141" s="41"/>
      <c r="T141" s="41" t="s">
        <v>2028</v>
      </c>
      <c r="U141" s="41"/>
      <c r="V141" s="41"/>
      <c r="W141" s="41"/>
      <c r="X141" s="41"/>
      <c r="Y141" s="41"/>
      <c r="Z141" s="41"/>
      <c r="AA141" s="972"/>
      <c r="AB141" s="41"/>
    </row>
    <row r="142" spans="1:28" ht="13.5">
      <c r="A142" s="1052"/>
      <c r="B142" s="41"/>
      <c r="C142" s="41"/>
      <c r="D142" s="41"/>
      <c r="E142" s="41"/>
      <c r="F142" s="41"/>
      <c r="G142" s="41"/>
      <c r="H142" s="41"/>
      <c r="I142" s="41"/>
      <c r="J142" s="904"/>
      <c r="K142" s="41" t="s">
        <v>2029</v>
      </c>
      <c r="L142" s="906"/>
      <c r="M142" s="41"/>
      <c r="N142" s="41"/>
      <c r="O142" s="41"/>
      <c r="P142" s="41"/>
      <c r="Q142" s="41"/>
      <c r="R142" s="83"/>
      <c r="S142" s="41"/>
      <c r="T142" s="41" t="s">
        <v>2030</v>
      </c>
      <c r="U142" s="41"/>
      <c r="V142" s="41"/>
      <c r="W142" s="41"/>
      <c r="X142" s="41"/>
      <c r="Y142" s="41"/>
      <c r="Z142" s="41"/>
      <c r="AA142" s="972"/>
      <c r="AB142" s="41"/>
    </row>
    <row r="143" spans="1:28" ht="13.5">
      <c r="A143" s="883"/>
      <c r="B143" s="886"/>
      <c r="C143" s="886"/>
      <c r="D143" s="886"/>
      <c r="E143" s="886"/>
      <c r="F143" s="886"/>
      <c r="G143" s="886"/>
      <c r="H143" s="886"/>
      <c r="I143" s="886"/>
      <c r="J143" s="951"/>
      <c r="K143" s="916"/>
      <c r="L143" s="910"/>
      <c r="M143" s="810"/>
      <c r="N143" s="810"/>
      <c r="O143" s="810"/>
      <c r="P143" s="963"/>
      <c r="Q143" s="810"/>
      <c r="R143" s="809"/>
      <c r="S143" s="886"/>
      <c r="T143" s="886"/>
      <c r="U143" s="886"/>
      <c r="V143" s="886"/>
      <c r="W143" s="886"/>
      <c r="X143" s="886"/>
      <c r="Y143" s="886"/>
      <c r="Z143" s="886"/>
      <c r="AA143" s="887"/>
      <c r="AB143" s="41"/>
    </row>
    <row r="144" spans="1:28" ht="13.5">
      <c r="A144" s="41"/>
      <c r="B144" s="41"/>
      <c r="C144" s="41"/>
      <c r="D144" s="41"/>
      <c r="E144" s="41"/>
      <c r="F144" s="41"/>
      <c r="G144" s="41"/>
      <c r="H144" s="41"/>
      <c r="I144" s="41"/>
      <c r="J144" s="896"/>
      <c r="K144" s="926"/>
      <c r="L144" s="906"/>
      <c r="M144" s="41"/>
      <c r="N144" s="41"/>
      <c r="O144" s="41"/>
      <c r="P144" s="926"/>
      <c r="Q144" s="41"/>
      <c r="R144" s="41"/>
      <c r="S144" s="41"/>
      <c r="T144" s="41"/>
      <c r="U144" s="41"/>
      <c r="V144" s="41"/>
      <c r="W144" s="41"/>
      <c r="X144" s="41"/>
      <c r="Y144" s="41"/>
      <c r="Z144" s="41"/>
      <c r="AA144" s="41"/>
      <c r="AB144" s="41"/>
    </row>
    <row r="145" spans="1:28" ht="13.5" customHeight="1">
      <c r="J145" s="936"/>
      <c r="K145" s="926"/>
      <c r="L145" s="906"/>
      <c r="M145" s="41"/>
      <c r="N145" s="41"/>
      <c r="O145" s="41"/>
      <c r="P145" s="41"/>
      <c r="Q145" s="41"/>
      <c r="R145" s="41"/>
      <c r="AB145" s="41"/>
    </row>
    <row r="146" spans="1:28" ht="13.5">
      <c r="J146" s="953"/>
      <c r="K146" s="953"/>
      <c r="L146" s="953"/>
      <c r="M146" s="953"/>
      <c r="N146" s="953"/>
      <c r="O146" s="953"/>
      <c r="P146" s="953"/>
      <c r="Q146" s="953"/>
      <c r="R146" s="953"/>
      <c r="AB146" s="41"/>
    </row>
    <row r="147" spans="1:28" ht="13.5">
      <c r="J147" s="953"/>
      <c r="K147" s="953"/>
      <c r="L147" s="953"/>
      <c r="M147" s="953"/>
      <c r="N147" s="953"/>
      <c r="O147" s="953"/>
      <c r="P147" s="953"/>
      <c r="Q147" s="953"/>
      <c r="R147" s="953"/>
      <c r="AB147" s="41"/>
    </row>
    <row r="148" spans="1:28" ht="13.5">
      <c r="J148" s="41"/>
      <c r="K148" s="41"/>
      <c r="L148" s="41"/>
      <c r="M148" s="41"/>
      <c r="N148" s="41"/>
      <c r="O148" s="41"/>
      <c r="P148" s="41"/>
      <c r="Q148" s="41"/>
      <c r="R148" s="41"/>
      <c r="AB148" s="41"/>
    </row>
    <row r="149" spans="1:28" ht="13.5">
      <c r="J149" s="41"/>
      <c r="K149" s="41"/>
      <c r="L149" s="41"/>
      <c r="M149" s="41"/>
      <c r="N149" s="41"/>
      <c r="O149" s="41"/>
      <c r="P149" s="41"/>
      <c r="Q149" s="41"/>
      <c r="R149" s="41"/>
      <c r="AB149" s="41"/>
    </row>
    <row r="150" spans="1:28" ht="13.5">
      <c r="AB150" s="41"/>
    </row>
    <row r="151" spans="1:28" ht="13.5">
      <c r="AB151" s="41"/>
    </row>
    <row r="152" spans="1:28" ht="13.5">
      <c r="AB152" s="41"/>
    </row>
    <row r="154" spans="1:28">
      <c r="A154" s="881"/>
      <c r="B154" s="881"/>
      <c r="F154" s="881"/>
      <c r="G154" s="881"/>
      <c r="H154" s="881"/>
    </row>
    <row r="155" spans="1:28">
      <c r="A155" s="881"/>
      <c r="B155" s="881"/>
      <c r="F155" s="881"/>
      <c r="G155" s="881"/>
      <c r="H155" s="881"/>
    </row>
    <row r="156" spans="1:28">
      <c r="A156" s="881"/>
      <c r="B156" s="881"/>
      <c r="F156" s="881"/>
      <c r="G156" s="881"/>
      <c r="H156" s="881"/>
    </row>
    <row r="157" spans="1:28">
      <c r="A157" s="881"/>
      <c r="B157" s="881"/>
      <c r="F157" s="881"/>
      <c r="G157" s="881"/>
      <c r="H157" s="881"/>
    </row>
    <row r="158" spans="1:28">
      <c r="A158" s="881"/>
      <c r="B158" s="881"/>
      <c r="F158" s="881"/>
      <c r="G158" s="881"/>
      <c r="H158" s="881"/>
    </row>
    <row r="159" spans="1:28">
      <c r="A159" s="881"/>
      <c r="B159" s="881"/>
      <c r="F159" s="881"/>
      <c r="G159" s="881"/>
      <c r="H159" s="881"/>
    </row>
    <row r="160" spans="1:28">
      <c r="A160" s="881"/>
      <c r="B160" s="881"/>
      <c r="F160" s="881"/>
      <c r="G160" s="881"/>
      <c r="H160" s="881"/>
    </row>
    <row r="161" spans="1:8">
      <c r="A161" s="881"/>
      <c r="B161" s="881"/>
      <c r="F161" s="881"/>
      <c r="G161" s="881"/>
      <c r="H161" s="881"/>
    </row>
    <row r="162" spans="1:8">
      <c r="A162" s="881"/>
      <c r="B162" s="881"/>
      <c r="F162" s="881"/>
      <c r="G162" s="881"/>
      <c r="H162" s="881"/>
    </row>
    <row r="163" spans="1:8">
      <c r="A163" s="881"/>
      <c r="B163" s="881"/>
      <c r="F163" s="881"/>
      <c r="G163" s="881"/>
      <c r="H163" s="881"/>
    </row>
    <row r="164" spans="1:8">
      <c r="A164" s="881"/>
      <c r="B164" s="881"/>
      <c r="F164" s="881"/>
      <c r="G164" s="881"/>
      <c r="H164" s="881"/>
    </row>
  </sheetData>
  <mergeCells count="73">
    <mergeCell ref="B101:I102"/>
    <mergeCell ref="K105:R107"/>
    <mergeCell ref="K5:R6"/>
    <mergeCell ref="T8:AA8"/>
    <mergeCell ref="K11:R13"/>
    <mergeCell ref="B14:G15"/>
    <mergeCell ref="K14:L15"/>
    <mergeCell ref="T14:AA15"/>
    <mergeCell ref="T47:AA47"/>
    <mergeCell ref="B38:I39"/>
    <mergeCell ref="K17:R19"/>
    <mergeCell ref="K22:R23"/>
    <mergeCell ref="K26:R27"/>
    <mergeCell ref="B31:H32"/>
    <mergeCell ref="K32:R33"/>
    <mergeCell ref="T32:AA33"/>
    <mergeCell ref="A36:C37"/>
    <mergeCell ref="E36:F37"/>
    <mergeCell ref="H36:I37"/>
    <mergeCell ref="T41:AA42"/>
    <mergeCell ref="B42:I43"/>
    <mergeCell ref="T51:Z51"/>
    <mergeCell ref="T52:AA53"/>
    <mergeCell ref="J53:N54"/>
    <mergeCell ref="B57:I58"/>
    <mergeCell ref="N59:O59"/>
    <mergeCell ref="K50:R51"/>
    <mergeCell ref="K52:R52"/>
    <mergeCell ref="K56:R57"/>
    <mergeCell ref="T59:W59"/>
    <mergeCell ref="B61:I62"/>
    <mergeCell ref="J61:M63"/>
    <mergeCell ref="N62:O62"/>
    <mergeCell ref="K64:R66"/>
    <mergeCell ref="B66:I67"/>
    <mergeCell ref="J67:N68"/>
    <mergeCell ref="X98:AA98"/>
    <mergeCell ref="K69:R70"/>
    <mergeCell ref="J73:N74"/>
    <mergeCell ref="K76:R76"/>
    <mergeCell ref="T79:AA80"/>
    <mergeCell ref="K81:R82"/>
    <mergeCell ref="K83:P83"/>
    <mergeCell ref="Q83:R83"/>
    <mergeCell ref="T83:AA84"/>
    <mergeCell ref="N71:O71"/>
    <mergeCell ref="O73:P73"/>
    <mergeCell ref="K84:P84"/>
    <mergeCell ref="T87:AA87"/>
    <mergeCell ref="K95:R95"/>
    <mergeCell ref="S96:W96"/>
    <mergeCell ref="S97:W97"/>
    <mergeCell ref="X97:AA97"/>
    <mergeCell ref="K101:R102"/>
    <mergeCell ref="Y102:AA102"/>
    <mergeCell ref="K140:Q141"/>
    <mergeCell ref="E113:F113"/>
    <mergeCell ref="T115:AA116"/>
    <mergeCell ref="B120:I120"/>
    <mergeCell ref="T120:AA121"/>
    <mergeCell ref="B123:I124"/>
    <mergeCell ref="T126:AA127"/>
    <mergeCell ref="K129:R129"/>
    <mergeCell ref="B128:I129"/>
    <mergeCell ref="B136:I137"/>
    <mergeCell ref="K136:R138"/>
    <mergeCell ref="M104:N104"/>
    <mergeCell ref="T103:AA103"/>
    <mergeCell ref="T136:AA137"/>
    <mergeCell ref="B105:I106"/>
    <mergeCell ref="E107:F107"/>
    <mergeCell ref="D109:F109"/>
    <mergeCell ref="B110:I111"/>
  </mergeCells>
  <pageMargins left="0.314" right="0.314" top="0.11799999999999999" bottom="0.27500000000000002" header="0.157" footer="0.11799999999999999"/>
  <pageSetup scale="89" firstPageNumber="31" orientation="landscape" r:id="rId1"/>
  <headerFooter>
    <oddFooter>&amp;C&amp;P</oddFooter>
  </headerFooter>
  <rowBreaks count="2" manualBreakCount="2">
    <brk id="45" max="27" man="1"/>
    <brk id="93" max="27" man="1"/>
  </row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900-000000000000}">
  <dimension ref="A1:AN58"/>
  <sheetViews>
    <sheetView showWhiteSpace="0" view="pageBreakPreview" zoomScale="124" zoomScaleNormal="80" zoomScaleSheetLayoutView="124" zoomScalePageLayoutView="110" workbookViewId="0">
      <selection activeCell="S5" sqref="S5:Y10"/>
    </sheetView>
  </sheetViews>
  <sheetFormatPr defaultColWidth="9.140625" defaultRowHeight="13.5"/>
  <cols>
    <col min="1" max="1" width="5.140625" style="638" customWidth="1"/>
    <col min="2" max="2" width="32.5703125" style="638" bestFit="1" customWidth="1"/>
    <col min="3" max="7" width="0.140625" style="273" customWidth="1"/>
    <col min="8" max="8" width="5.140625" style="273" bestFit="1" customWidth="1"/>
    <col min="9" max="9" width="3.42578125" style="273" customWidth="1"/>
    <col min="10" max="10" width="3.28515625" style="273" customWidth="1"/>
    <col min="11" max="11" width="1.42578125" style="273" customWidth="1"/>
    <col min="12" max="12" width="3" style="273" customWidth="1"/>
    <col min="13" max="13" width="2.7109375" style="273" customWidth="1"/>
    <col min="14" max="14" width="1.42578125" style="273" customWidth="1"/>
    <col min="15" max="15" width="0.5703125" style="273" customWidth="1"/>
    <col min="16" max="16" width="5.28515625" style="273" customWidth="1"/>
    <col min="17" max="17" width="4" style="273" customWidth="1"/>
    <col min="18" max="18" width="2.28515625" style="273" customWidth="1"/>
    <col min="19" max="19" width="2.7109375" style="273" customWidth="1"/>
    <col min="20" max="20" width="5.140625" style="273" customWidth="1"/>
    <col min="21" max="21" width="1.5703125" style="273" hidden="1" customWidth="1"/>
    <col min="22" max="22" width="3.140625" style="273" customWidth="1"/>
    <col min="23" max="23" width="5.140625" style="273" customWidth="1"/>
    <col min="24" max="24" width="9.7109375" style="273" customWidth="1"/>
    <col min="25" max="25" width="0.28515625" style="273" customWidth="1"/>
    <col min="26" max="26" width="6.28515625" style="273" customWidth="1"/>
    <col min="27" max="27" width="2.140625" style="273" customWidth="1"/>
    <col min="28" max="28" width="3.140625" style="273" customWidth="1"/>
    <col min="29" max="29" width="4" style="273" hidden="1" customWidth="1"/>
    <col min="30" max="30" width="5.85546875" style="273" customWidth="1"/>
    <col min="31" max="31" width="4" style="273" customWidth="1"/>
    <col min="32" max="32" width="3" style="273" customWidth="1"/>
    <col min="33" max="33" width="5.42578125" style="273" bestFit="1" customWidth="1"/>
    <col min="34" max="34" width="4" style="273" customWidth="1"/>
    <col min="35" max="35" width="2" style="273" customWidth="1"/>
    <col min="36" max="36" width="1.42578125" style="273" customWidth="1"/>
    <col min="37" max="37" width="5.42578125" style="273" customWidth="1"/>
    <col min="38" max="38" width="4" style="273" customWidth="1"/>
    <col min="39" max="39" width="10" style="273" customWidth="1"/>
    <col min="40" max="40" width="8.140625" style="273" customWidth="1"/>
    <col min="41" max="16384" width="9.140625" style="271"/>
  </cols>
  <sheetData>
    <row r="1" spans="1:40">
      <c r="A1" s="134" t="s">
        <v>2031</v>
      </c>
    </row>
    <row r="2" spans="1:40">
      <c r="A2" s="134"/>
      <c r="B2" s="639">
        <v>12</v>
      </c>
      <c r="C2" s="273" t="s">
        <v>2032</v>
      </c>
      <c r="H2" s="135"/>
    </row>
    <row r="3" spans="1:40" ht="15.75">
      <c r="A3" s="414"/>
    </row>
    <row r="4" spans="1:40">
      <c r="A4" s="639">
        <v>12.01</v>
      </c>
      <c r="B4" s="640" t="s">
        <v>2033</v>
      </c>
      <c r="C4" s="449"/>
      <c r="D4" s="449"/>
      <c r="E4" s="449"/>
      <c r="F4" s="449"/>
      <c r="G4" s="449"/>
      <c r="H4" s="629">
        <f>A4+0.01</f>
        <v>12.02</v>
      </c>
      <c r="I4" s="603"/>
      <c r="J4" s="603"/>
      <c r="K4" s="604"/>
      <c r="L4" s="2440">
        <f>H4+0.01</f>
        <v>12.03</v>
      </c>
      <c r="M4" s="2441"/>
      <c r="N4" s="603"/>
      <c r="O4" s="604"/>
      <c r="P4" s="629">
        <f>L4+0.01</f>
        <v>12.04</v>
      </c>
      <c r="Q4" s="603"/>
      <c r="R4" s="604"/>
      <c r="S4" s="2440">
        <f>P4+0.01</f>
        <v>12.049999999999999</v>
      </c>
      <c r="T4" s="2441"/>
      <c r="U4" s="2441"/>
      <c r="V4" s="2441"/>
      <c r="W4" s="2441"/>
      <c r="X4" s="2441"/>
      <c r="Y4" s="2775"/>
      <c r="Z4" s="629">
        <f>S4+0.01</f>
        <v>12.059999999999999</v>
      </c>
      <c r="AA4" s="603"/>
      <c r="AB4" s="603"/>
      <c r="AC4" s="604"/>
      <c r="AD4" s="629">
        <f>Z4+0.01</f>
        <v>12.069999999999999</v>
      </c>
      <c r="AE4" s="603"/>
      <c r="AF4" s="603"/>
      <c r="AG4" s="629">
        <f>AD4+0.01</f>
        <v>12.079999999999998</v>
      </c>
      <c r="AH4" s="603"/>
      <c r="AI4" s="603"/>
      <c r="AJ4" s="604"/>
      <c r="AK4" s="629">
        <f>AG4+0.01</f>
        <v>12.089999999999998</v>
      </c>
      <c r="AL4" s="603"/>
      <c r="AM4" s="603"/>
      <c r="AN4" s="604"/>
    </row>
    <row r="5" spans="1:40" ht="13.5" customHeight="1">
      <c r="A5" s="2194" t="s">
        <v>2034</v>
      </c>
      <c r="B5" s="269"/>
      <c r="C5" s="269"/>
      <c r="D5" s="269"/>
      <c r="E5" s="269"/>
      <c r="F5" s="269"/>
      <c r="G5" s="269"/>
      <c r="H5" s="2172" t="s">
        <v>2035</v>
      </c>
      <c r="I5" s="2186"/>
      <c r="J5" s="2186"/>
      <c r="K5" s="2173"/>
      <c r="L5" s="2338" t="s">
        <v>2036</v>
      </c>
      <c r="M5" s="2343"/>
      <c r="N5" s="2343"/>
      <c r="O5" s="2767"/>
      <c r="P5" s="2172" t="s">
        <v>2037</v>
      </c>
      <c r="Q5" s="2186"/>
      <c r="R5" s="2173"/>
      <c r="S5" s="2172" t="s">
        <v>2038</v>
      </c>
      <c r="T5" s="2186"/>
      <c r="U5" s="2186"/>
      <c r="V5" s="2186"/>
      <c r="W5" s="2186"/>
      <c r="X5" s="2186"/>
      <c r="Y5" s="2173"/>
      <c r="Z5" s="2172" t="s">
        <v>2039</v>
      </c>
      <c r="AA5" s="2186"/>
      <c r="AB5" s="2186"/>
      <c r="AC5" s="2173"/>
      <c r="AD5" s="2172" t="s">
        <v>2040</v>
      </c>
      <c r="AE5" s="2186"/>
      <c r="AF5" s="2186"/>
      <c r="AG5" s="2172" t="s">
        <v>2041</v>
      </c>
      <c r="AH5" s="2186"/>
      <c r="AI5" s="2186"/>
      <c r="AJ5" s="2173"/>
      <c r="AK5" s="2172" t="s">
        <v>2042</v>
      </c>
      <c r="AL5" s="2186"/>
      <c r="AM5" s="2186"/>
      <c r="AN5" s="2173"/>
    </row>
    <row r="6" spans="1:40">
      <c r="A6" s="2194"/>
      <c r="B6" s="614"/>
      <c r="C6" s="269"/>
      <c r="D6" s="269"/>
      <c r="E6" s="269"/>
      <c r="F6" s="269"/>
      <c r="G6" s="269"/>
      <c r="H6" s="2172"/>
      <c r="I6" s="2186"/>
      <c r="J6" s="2186"/>
      <c r="K6" s="2173"/>
      <c r="L6" s="2243"/>
      <c r="M6" s="2343"/>
      <c r="N6" s="2343"/>
      <c r="O6" s="2767"/>
      <c r="P6" s="2172"/>
      <c r="Q6" s="2186"/>
      <c r="R6" s="2173"/>
      <c r="S6" s="2172"/>
      <c r="T6" s="2186"/>
      <c r="U6" s="2186"/>
      <c r="V6" s="2186"/>
      <c r="W6" s="2186"/>
      <c r="X6" s="2186"/>
      <c r="Y6" s="2173"/>
      <c r="Z6" s="2172"/>
      <c r="AA6" s="2186"/>
      <c r="AB6" s="2186"/>
      <c r="AC6" s="2173"/>
      <c r="AD6" s="2172"/>
      <c r="AE6" s="2186"/>
      <c r="AF6" s="2186"/>
      <c r="AG6" s="2172"/>
      <c r="AH6" s="2186"/>
      <c r="AI6" s="2186"/>
      <c r="AJ6" s="2173"/>
      <c r="AK6" s="2172"/>
      <c r="AL6" s="2186"/>
      <c r="AM6" s="2186"/>
      <c r="AN6" s="2173"/>
    </row>
    <row r="7" spans="1:40">
      <c r="A7" s="2194"/>
      <c r="B7" s="614"/>
      <c r="C7" s="269"/>
      <c r="D7" s="269"/>
      <c r="E7" s="269"/>
      <c r="F7" s="269"/>
      <c r="G7" s="269"/>
      <c r="H7" s="2172"/>
      <c r="I7" s="2186"/>
      <c r="J7" s="2186"/>
      <c r="K7" s="2173"/>
      <c r="L7" s="2243"/>
      <c r="M7" s="2343"/>
      <c r="N7" s="2343"/>
      <c r="O7" s="2767"/>
      <c r="P7" s="2172"/>
      <c r="Q7" s="2186"/>
      <c r="R7" s="2173"/>
      <c r="S7" s="2172"/>
      <c r="T7" s="2186"/>
      <c r="U7" s="2186"/>
      <c r="V7" s="2186"/>
      <c r="W7" s="2186"/>
      <c r="X7" s="2186"/>
      <c r="Y7" s="2173"/>
      <c r="Z7" s="2172"/>
      <c r="AA7" s="2186"/>
      <c r="AB7" s="2186"/>
      <c r="AC7" s="2173"/>
      <c r="AD7" s="2172"/>
      <c r="AE7" s="2186"/>
      <c r="AF7" s="2186"/>
      <c r="AG7" s="2172"/>
      <c r="AH7" s="2186"/>
      <c r="AI7" s="2186"/>
      <c r="AJ7" s="2173"/>
      <c r="AK7" s="2172"/>
      <c r="AL7" s="2186"/>
      <c r="AM7" s="2186"/>
      <c r="AN7" s="2173"/>
    </row>
    <row r="8" spans="1:40">
      <c r="A8" s="2194"/>
      <c r="B8" s="614"/>
      <c r="C8" s="269"/>
      <c r="D8" s="269"/>
      <c r="E8" s="269"/>
      <c r="F8" s="269"/>
      <c r="G8" s="269"/>
      <c r="H8" s="2172"/>
      <c r="I8" s="2186"/>
      <c r="J8" s="2186"/>
      <c r="K8" s="2173"/>
      <c r="L8" s="2243"/>
      <c r="M8" s="2343"/>
      <c r="N8" s="2343"/>
      <c r="O8" s="2767"/>
      <c r="P8" s="2172"/>
      <c r="Q8" s="2186"/>
      <c r="R8" s="2173"/>
      <c r="S8" s="2172"/>
      <c r="T8" s="2186"/>
      <c r="U8" s="2186"/>
      <c r="V8" s="2186"/>
      <c r="W8" s="2186"/>
      <c r="X8" s="2186"/>
      <c r="Y8" s="2173"/>
      <c r="Z8" s="2172"/>
      <c r="AA8" s="2186"/>
      <c r="AB8" s="2186"/>
      <c r="AC8" s="2173"/>
      <c r="AD8" s="2172"/>
      <c r="AE8" s="2186"/>
      <c r="AF8" s="2186"/>
      <c r="AG8" s="2172"/>
      <c r="AH8" s="2186"/>
      <c r="AI8" s="2186"/>
      <c r="AJ8" s="2173"/>
      <c r="AK8" s="2172"/>
      <c r="AL8" s="2186"/>
      <c r="AM8" s="2186"/>
      <c r="AN8" s="2173"/>
    </row>
    <row r="9" spans="1:40">
      <c r="A9" s="2194"/>
      <c r="B9" s="614"/>
      <c r="C9" s="269"/>
      <c r="D9" s="269"/>
      <c r="E9" s="269"/>
      <c r="F9" s="269"/>
      <c r="G9" s="269"/>
      <c r="H9" s="2172"/>
      <c r="I9" s="2186"/>
      <c r="J9" s="2186"/>
      <c r="K9" s="2173"/>
      <c r="L9" s="2243"/>
      <c r="M9" s="2343"/>
      <c r="N9" s="2343"/>
      <c r="O9" s="2767"/>
      <c r="P9" s="2172"/>
      <c r="Q9" s="2186"/>
      <c r="R9" s="2173"/>
      <c r="S9" s="2172"/>
      <c r="T9" s="2186"/>
      <c r="U9" s="2186"/>
      <c r="V9" s="2186"/>
      <c r="W9" s="2186"/>
      <c r="X9" s="2186"/>
      <c r="Y9" s="2173"/>
      <c r="Z9" s="2172"/>
      <c r="AA9" s="2186"/>
      <c r="AB9" s="2186"/>
      <c r="AC9" s="2173"/>
      <c r="AD9" s="2172"/>
      <c r="AE9" s="2186"/>
      <c r="AF9" s="2186"/>
      <c r="AG9" s="2172"/>
      <c r="AH9" s="2186"/>
      <c r="AI9" s="2186"/>
      <c r="AJ9" s="2173"/>
      <c r="AK9" s="2172"/>
      <c r="AL9" s="2186"/>
      <c r="AM9" s="2186"/>
      <c r="AN9" s="2173"/>
    </row>
    <row r="10" spans="1:40">
      <c r="A10" s="2194"/>
      <c r="B10" s="614"/>
      <c r="C10" s="269"/>
      <c r="D10" s="269"/>
      <c r="E10" s="269"/>
      <c r="F10" s="269"/>
      <c r="G10" s="269"/>
      <c r="H10" s="2172"/>
      <c r="I10" s="2186"/>
      <c r="J10" s="2186"/>
      <c r="K10" s="2173"/>
      <c r="L10" s="2243"/>
      <c r="M10" s="2343"/>
      <c r="N10" s="2343"/>
      <c r="O10" s="2767"/>
      <c r="Q10" s="171"/>
      <c r="R10" s="172"/>
      <c r="S10" s="2172"/>
      <c r="T10" s="2186"/>
      <c r="U10" s="2186"/>
      <c r="V10" s="2186"/>
      <c r="W10" s="2186"/>
      <c r="X10" s="2186"/>
      <c r="Y10" s="2173"/>
      <c r="Z10" s="2172"/>
      <c r="AA10" s="2186"/>
      <c r="AB10" s="2186"/>
      <c r="AC10" s="2173"/>
      <c r="AD10" s="2172"/>
      <c r="AE10" s="2186"/>
      <c r="AF10" s="2186"/>
      <c r="AG10" s="2172"/>
      <c r="AH10" s="2186"/>
      <c r="AI10" s="2186"/>
      <c r="AJ10" s="2173"/>
      <c r="AK10" s="2172"/>
      <c r="AL10" s="2186"/>
      <c r="AM10" s="2186"/>
      <c r="AN10" s="2173"/>
    </row>
    <row r="11" spans="1:40">
      <c r="A11" s="2194"/>
      <c r="B11" s="614"/>
      <c r="C11" s="269"/>
      <c r="D11" s="269"/>
      <c r="E11" s="269"/>
      <c r="F11" s="269"/>
      <c r="G11" s="269"/>
      <c r="H11" s="2172"/>
      <c r="I11" s="2186"/>
      <c r="J11" s="2186"/>
      <c r="K11" s="2173"/>
      <c r="L11" s="2243"/>
      <c r="M11" s="2343"/>
      <c r="N11" s="2343"/>
      <c r="O11" s="2767"/>
      <c r="P11" s="170" t="s">
        <v>1411</v>
      </c>
      <c r="Q11" s="171"/>
      <c r="R11" s="172"/>
      <c r="S11" s="170"/>
      <c r="T11" s="171"/>
      <c r="U11" s="172"/>
      <c r="V11" s="124"/>
      <c r="W11" s="124"/>
      <c r="X11" s="124"/>
      <c r="Y11" s="124"/>
      <c r="Z11" s="2172"/>
      <c r="AA11" s="2186"/>
      <c r="AB11" s="2186"/>
      <c r="AC11" s="2173"/>
      <c r="AD11" s="2172"/>
      <c r="AE11" s="2186"/>
      <c r="AF11" s="2186"/>
      <c r="AG11" s="2172"/>
      <c r="AH11" s="2186"/>
      <c r="AI11" s="2186"/>
      <c r="AJ11" s="2173"/>
      <c r="AK11" s="2172"/>
      <c r="AL11" s="2186"/>
      <c r="AM11" s="2186"/>
      <c r="AN11" s="2173"/>
    </row>
    <row r="12" spans="1:40" ht="42" customHeight="1">
      <c r="A12" s="2194"/>
      <c r="B12" s="614"/>
      <c r="C12" s="269"/>
      <c r="D12" s="269"/>
      <c r="E12" s="269"/>
      <c r="F12" s="269"/>
      <c r="G12" s="269"/>
      <c r="H12" s="2172"/>
      <c r="I12" s="2186"/>
      <c r="J12" s="2186"/>
      <c r="K12" s="2173"/>
      <c r="L12" s="2243"/>
      <c r="M12" s="2343"/>
      <c r="N12" s="2343"/>
      <c r="O12" s="2767"/>
      <c r="P12" s="158" t="str">
        <f>CONCATENATE("2=Não ►(",ROUND(Z4,2),")" )</f>
        <v>2=Não ►(12,06)</v>
      </c>
      <c r="Q12" s="171"/>
      <c r="R12" s="172"/>
      <c r="S12" s="2760" t="s">
        <v>1766</v>
      </c>
      <c r="T12" s="2761"/>
      <c r="U12" s="641"/>
      <c r="V12" s="2760" t="s">
        <v>1767</v>
      </c>
      <c r="W12" s="2761"/>
      <c r="X12" s="2760" t="s">
        <v>1768</v>
      </c>
      <c r="Y12" s="2762"/>
      <c r="Z12" s="2172"/>
      <c r="AA12" s="2186"/>
      <c r="AB12" s="2186"/>
      <c r="AC12" s="2173"/>
      <c r="AD12" s="2172"/>
      <c r="AE12" s="2186"/>
      <c r="AF12" s="2186"/>
      <c r="AG12" s="2172"/>
      <c r="AH12" s="2186"/>
      <c r="AI12" s="2186"/>
      <c r="AJ12" s="2173"/>
      <c r="AK12" s="2172"/>
      <c r="AL12" s="2186"/>
      <c r="AM12" s="2186"/>
      <c r="AN12" s="2173"/>
    </row>
    <row r="13" spans="1:40">
      <c r="A13" s="2766"/>
      <c r="B13" s="2752" t="s">
        <v>2043</v>
      </c>
      <c r="C13" s="2752"/>
      <c r="D13" s="2752"/>
      <c r="E13" s="2752"/>
      <c r="F13" s="2752"/>
      <c r="G13" s="2752"/>
      <c r="H13" s="2753" t="s">
        <v>420</v>
      </c>
      <c r="I13" s="2665"/>
      <c r="J13" s="2665"/>
      <c r="K13" s="2666"/>
      <c r="L13" s="2753" t="s">
        <v>426</v>
      </c>
      <c r="M13" s="2752"/>
      <c r="N13" s="2752"/>
      <c r="O13" s="2771"/>
      <c r="P13" s="2768" t="s">
        <v>420</v>
      </c>
      <c r="Q13" s="2769"/>
      <c r="R13" s="2770"/>
      <c r="S13" s="2768" t="s">
        <v>187</v>
      </c>
      <c r="T13" s="2769"/>
      <c r="U13" s="2666"/>
      <c r="V13" s="2688" t="s">
        <v>187</v>
      </c>
      <c r="W13" s="2665"/>
      <c r="X13" s="2688" t="s">
        <v>187</v>
      </c>
      <c r="Y13" s="2666"/>
      <c r="Z13" s="2753" t="s">
        <v>420</v>
      </c>
      <c r="AA13" s="2665"/>
      <c r="AB13" s="2665"/>
      <c r="AC13" s="2666"/>
      <c r="AD13" s="2753" t="s">
        <v>424</v>
      </c>
      <c r="AE13" s="2752"/>
      <c r="AF13" s="2752"/>
      <c r="AG13" s="2763" t="s">
        <v>428</v>
      </c>
      <c r="AH13" s="2764"/>
      <c r="AI13" s="2764"/>
      <c r="AJ13" s="2765"/>
      <c r="AK13" s="2763" t="s">
        <v>428</v>
      </c>
      <c r="AL13" s="2764"/>
      <c r="AM13" s="2764"/>
      <c r="AN13" s="2765"/>
    </row>
    <row r="14" spans="1:40" ht="18.600000000000001" customHeight="1">
      <c r="A14" s="642">
        <v>1</v>
      </c>
      <c r="B14" s="112" t="s">
        <v>2044</v>
      </c>
      <c r="C14" s="643"/>
      <c r="D14" s="643"/>
      <c r="E14" s="643"/>
      <c r="F14" s="643"/>
      <c r="G14" s="643"/>
      <c r="H14" s="644"/>
      <c r="I14" s="645"/>
      <c r="J14" s="645"/>
      <c r="K14" s="645"/>
      <c r="L14" s="644"/>
      <c r="M14" s="643"/>
      <c r="N14" s="643"/>
      <c r="O14" s="643"/>
      <c r="P14" s="405"/>
      <c r="Q14" s="406"/>
      <c r="R14" s="407"/>
      <c r="S14" s="406"/>
      <c r="T14" s="407"/>
      <c r="U14" s="645"/>
      <c r="V14" s="406"/>
      <c r="W14" s="407"/>
      <c r="X14" s="406"/>
      <c r="Y14" s="407"/>
      <c r="Z14" s="644"/>
      <c r="AA14" s="645"/>
      <c r="AB14" s="645"/>
      <c r="AC14" s="645"/>
      <c r="AD14" s="644"/>
      <c r="AE14" s="643"/>
      <c r="AF14" s="643"/>
      <c r="AG14" s="646"/>
      <c r="AH14" s="647"/>
      <c r="AI14" s="647"/>
      <c r="AJ14" s="647"/>
      <c r="AK14" s="644"/>
      <c r="AL14" s="645"/>
      <c r="AM14" s="645"/>
      <c r="AN14" s="123"/>
    </row>
    <row r="15" spans="1:40" ht="18.600000000000001" customHeight="1">
      <c r="A15" s="642">
        <f>A14+1</f>
        <v>2</v>
      </c>
      <c r="B15" s="35" t="s">
        <v>2045</v>
      </c>
      <c r="C15" s="643"/>
      <c r="D15" s="643"/>
      <c r="E15" s="643"/>
      <c r="F15" s="643"/>
      <c r="G15" s="643"/>
      <c r="H15" s="644"/>
      <c r="I15" s="645"/>
      <c r="J15" s="645"/>
      <c r="K15" s="645"/>
      <c r="L15" s="644"/>
      <c r="M15" s="643"/>
      <c r="N15" s="643"/>
      <c r="O15" s="643"/>
      <c r="P15" s="405"/>
      <c r="Q15" s="406"/>
      <c r="R15" s="407"/>
      <c r="S15" s="406"/>
      <c r="T15" s="407"/>
      <c r="U15" s="645"/>
      <c r="V15" s="406"/>
      <c r="W15" s="407"/>
      <c r="X15" s="406"/>
      <c r="Y15" s="407"/>
      <c r="Z15" s="644"/>
      <c r="AA15" s="645"/>
      <c r="AB15" s="645"/>
      <c r="AC15" s="645"/>
      <c r="AD15" s="644"/>
      <c r="AE15" s="643"/>
      <c r="AF15" s="643"/>
      <c r="AG15" s="646"/>
      <c r="AH15" s="647"/>
      <c r="AI15" s="647"/>
      <c r="AJ15" s="647"/>
      <c r="AK15" s="644"/>
      <c r="AL15" s="645"/>
      <c r="AM15" s="645"/>
      <c r="AN15" s="123"/>
    </row>
    <row r="16" spans="1:40" ht="18.600000000000001" customHeight="1">
      <c r="A16" s="642">
        <f t="shared" ref="A16:A58" si="0">A15+1</f>
        <v>3</v>
      </c>
      <c r="B16" s="35" t="s">
        <v>2046</v>
      </c>
      <c r="C16" s="112"/>
      <c r="D16" s="112"/>
      <c r="E16" s="112"/>
      <c r="F16" s="112"/>
      <c r="G16" s="112"/>
      <c r="H16" s="454"/>
      <c r="I16" s="112"/>
      <c r="J16" s="112"/>
      <c r="K16" s="112"/>
      <c r="L16" s="454"/>
      <c r="M16" s="112"/>
      <c r="N16" s="112"/>
      <c r="O16" s="112"/>
      <c r="P16" s="405"/>
      <c r="Q16" s="406"/>
      <c r="R16" s="407"/>
      <c r="S16" s="406"/>
      <c r="T16" s="407"/>
      <c r="U16" s="112"/>
      <c r="V16" s="406"/>
      <c r="W16" s="407"/>
      <c r="X16" s="406"/>
      <c r="Y16" s="407"/>
      <c r="Z16" s="454"/>
      <c r="AA16" s="112"/>
      <c r="AB16" s="112"/>
      <c r="AC16" s="112"/>
      <c r="AD16" s="454"/>
      <c r="AE16" s="112"/>
      <c r="AF16" s="112"/>
      <c r="AG16" s="454"/>
      <c r="AH16" s="112"/>
      <c r="AI16" s="112"/>
      <c r="AJ16" s="112"/>
      <c r="AK16" s="454"/>
      <c r="AL16" s="112"/>
      <c r="AM16" s="112"/>
      <c r="AN16" s="456"/>
    </row>
    <row r="17" spans="1:40" ht="18.600000000000001" customHeight="1">
      <c r="A17" s="642">
        <f t="shared" si="0"/>
        <v>4</v>
      </c>
      <c r="B17" s="35" t="s">
        <v>2047</v>
      </c>
      <c r="C17" s="112"/>
      <c r="D17" s="112"/>
      <c r="E17" s="112"/>
      <c r="F17" s="112"/>
      <c r="G17" s="112"/>
      <c r="H17" s="454"/>
      <c r="I17" s="112"/>
      <c r="J17" s="112"/>
      <c r="K17" s="112"/>
      <c r="L17" s="454"/>
      <c r="M17" s="112"/>
      <c r="N17" s="112"/>
      <c r="O17" s="112"/>
      <c r="P17" s="405"/>
      <c r="Q17" s="406"/>
      <c r="R17" s="407"/>
      <c r="S17" s="406"/>
      <c r="T17" s="407"/>
      <c r="U17" s="112"/>
      <c r="V17" s="406"/>
      <c r="W17" s="407"/>
      <c r="X17" s="406"/>
      <c r="Y17" s="407"/>
      <c r="Z17" s="454"/>
      <c r="AA17" s="112"/>
      <c r="AB17" s="112"/>
      <c r="AC17" s="112"/>
      <c r="AD17" s="454"/>
      <c r="AE17" s="112"/>
      <c r="AF17" s="112"/>
      <c r="AG17" s="454"/>
      <c r="AH17" s="112"/>
      <c r="AI17" s="112"/>
      <c r="AJ17" s="112"/>
      <c r="AK17" s="454"/>
      <c r="AL17" s="112"/>
      <c r="AM17" s="112"/>
      <c r="AN17" s="456"/>
    </row>
    <row r="18" spans="1:40" ht="18.600000000000001" customHeight="1">
      <c r="A18" s="642">
        <f t="shared" si="0"/>
        <v>5</v>
      </c>
      <c r="B18" s="35" t="s">
        <v>2048</v>
      </c>
      <c r="C18" s="112"/>
      <c r="D18" s="112"/>
      <c r="E18" s="112"/>
      <c r="F18" s="112"/>
      <c r="G18" s="112"/>
      <c r="H18" s="454"/>
      <c r="I18" s="112"/>
      <c r="J18" s="112"/>
      <c r="K18" s="112"/>
      <c r="L18" s="454"/>
      <c r="M18" s="112"/>
      <c r="N18" s="112"/>
      <c r="O18" s="112"/>
      <c r="P18" s="405"/>
      <c r="Q18" s="406"/>
      <c r="R18" s="407"/>
      <c r="S18" s="406"/>
      <c r="T18" s="407"/>
      <c r="U18" s="112"/>
      <c r="V18" s="406"/>
      <c r="W18" s="407"/>
      <c r="X18" s="406"/>
      <c r="Y18" s="407"/>
      <c r="Z18" s="454"/>
      <c r="AA18" s="112"/>
      <c r="AB18" s="112"/>
      <c r="AC18" s="112"/>
      <c r="AD18" s="454"/>
      <c r="AE18" s="112"/>
      <c r="AF18" s="112"/>
      <c r="AG18" s="454"/>
      <c r="AH18" s="112"/>
      <c r="AI18" s="112"/>
      <c r="AJ18" s="112"/>
      <c r="AK18" s="454"/>
      <c r="AL18" s="112"/>
      <c r="AM18" s="112"/>
      <c r="AN18" s="456"/>
    </row>
    <row r="19" spans="1:40" ht="18.600000000000001" customHeight="1">
      <c r="A19" s="642">
        <f t="shared" si="0"/>
        <v>6</v>
      </c>
      <c r="B19" s="35" t="s">
        <v>2049</v>
      </c>
      <c r="C19" s="112"/>
      <c r="D19" s="112"/>
      <c r="E19" s="112"/>
      <c r="F19" s="112"/>
      <c r="G19" s="112"/>
      <c r="H19" s="454"/>
      <c r="I19" s="112"/>
      <c r="J19" s="112"/>
      <c r="K19" s="112"/>
      <c r="L19" s="454"/>
      <c r="M19" s="112"/>
      <c r="N19" s="112"/>
      <c r="O19" s="112"/>
      <c r="P19" s="405"/>
      <c r="Q19" s="406"/>
      <c r="R19" s="407"/>
      <c r="S19" s="406"/>
      <c r="T19" s="407"/>
      <c r="U19" s="112"/>
      <c r="V19" s="406"/>
      <c r="W19" s="407"/>
      <c r="X19" s="406"/>
      <c r="Y19" s="407"/>
      <c r="Z19" s="454"/>
      <c r="AA19" s="112"/>
      <c r="AB19" s="112"/>
      <c r="AC19" s="112"/>
      <c r="AD19" s="454"/>
      <c r="AE19" s="112"/>
      <c r="AF19" s="112"/>
      <c r="AG19" s="454"/>
      <c r="AH19" s="112"/>
      <c r="AI19" s="112"/>
      <c r="AJ19" s="112"/>
      <c r="AK19" s="454"/>
      <c r="AL19" s="112"/>
      <c r="AM19" s="112"/>
      <c r="AN19" s="456"/>
    </row>
    <row r="20" spans="1:40" ht="18.600000000000001" customHeight="1">
      <c r="A20" s="642">
        <f t="shared" si="0"/>
        <v>7</v>
      </c>
      <c r="B20" s="35" t="s">
        <v>2050</v>
      </c>
      <c r="C20" s="112"/>
      <c r="D20" s="112"/>
      <c r="E20" s="112"/>
      <c r="F20" s="112"/>
      <c r="G20" s="112"/>
      <c r="H20" s="454"/>
      <c r="I20" s="112"/>
      <c r="J20" s="112"/>
      <c r="K20" s="112"/>
      <c r="L20" s="454"/>
      <c r="M20" s="112"/>
      <c r="N20" s="112"/>
      <c r="O20" s="112"/>
      <c r="P20" s="405"/>
      <c r="Q20" s="406"/>
      <c r="R20" s="407"/>
      <c r="S20" s="406"/>
      <c r="T20" s="407"/>
      <c r="U20" s="112"/>
      <c r="V20" s="406"/>
      <c r="W20" s="407"/>
      <c r="X20" s="406"/>
      <c r="Y20" s="407"/>
      <c r="Z20" s="454"/>
      <c r="AA20" s="112"/>
      <c r="AB20" s="112"/>
      <c r="AC20" s="112"/>
      <c r="AD20" s="454"/>
      <c r="AE20" s="112"/>
      <c r="AF20" s="112"/>
      <c r="AG20" s="454"/>
      <c r="AH20" s="112"/>
      <c r="AI20" s="112"/>
      <c r="AJ20" s="112"/>
      <c r="AK20" s="454"/>
      <c r="AL20" s="112"/>
      <c r="AM20" s="112"/>
      <c r="AN20" s="456"/>
    </row>
    <row r="21" spans="1:40" ht="18.600000000000001" customHeight="1">
      <c r="A21" s="642">
        <f t="shared" si="0"/>
        <v>8</v>
      </c>
      <c r="B21" s="35" t="s">
        <v>2051</v>
      </c>
      <c r="C21" s="112"/>
      <c r="D21" s="112"/>
      <c r="E21" s="112"/>
      <c r="F21" s="112"/>
      <c r="G21" s="112"/>
      <c r="H21" s="454"/>
      <c r="I21" s="112"/>
      <c r="J21" s="112"/>
      <c r="K21" s="112"/>
      <c r="L21" s="454"/>
      <c r="M21" s="112"/>
      <c r="N21" s="112"/>
      <c r="O21" s="112"/>
      <c r="P21" s="405"/>
      <c r="Q21" s="406"/>
      <c r="R21" s="407"/>
      <c r="S21" s="406"/>
      <c r="T21" s="407"/>
      <c r="U21" s="112"/>
      <c r="V21" s="406"/>
      <c r="W21" s="407"/>
      <c r="X21" s="406"/>
      <c r="Y21" s="407"/>
      <c r="Z21" s="454"/>
      <c r="AA21" s="112"/>
      <c r="AB21" s="112"/>
      <c r="AC21" s="112"/>
      <c r="AD21" s="454"/>
      <c r="AE21" s="112"/>
      <c r="AF21" s="112"/>
      <c r="AG21" s="454"/>
      <c r="AH21" s="112"/>
      <c r="AI21" s="112"/>
      <c r="AJ21" s="112"/>
      <c r="AK21" s="454"/>
      <c r="AL21" s="112"/>
      <c r="AM21" s="112"/>
      <c r="AN21" s="456"/>
    </row>
    <row r="22" spans="1:40" ht="18.600000000000001" customHeight="1">
      <c r="A22" s="642">
        <f t="shared" si="0"/>
        <v>9</v>
      </c>
      <c r="B22" s="35" t="s">
        <v>2052</v>
      </c>
      <c r="C22" s="112"/>
      <c r="D22" s="112"/>
      <c r="E22" s="112"/>
      <c r="F22" s="112"/>
      <c r="G22" s="112"/>
      <c r="H22" s="454"/>
      <c r="I22" s="112"/>
      <c r="J22" s="112"/>
      <c r="K22" s="112"/>
      <c r="L22" s="454"/>
      <c r="M22" s="112"/>
      <c r="N22" s="112"/>
      <c r="O22" s="112"/>
      <c r="P22" s="405"/>
      <c r="Q22" s="406"/>
      <c r="R22" s="407"/>
      <c r="S22" s="406"/>
      <c r="T22" s="407"/>
      <c r="U22" s="112"/>
      <c r="V22" s="406"/>
      <c r="W22" s="407"/>
      <c r="X22" s="406"/>
      <c r="Y22" s="407"/>
      <c r="Z22" s="454"/>
      <c r="AA22" s="112"/>
      <c r="AB22" s="112"/>
      <c r="AC22" s="112"/>
      <c r="AD22" s="454"/>
      <c r="AE22" s="112"/>
      <c r="AF22" s="112"/>
      <c r="AG22" s="454"/>
      <c r="AH22" s="112"/>
      <c r="AI22" s="112"/>
      <c r="AJ22" s="112"/>
      <c r="AK22" s="454"/>
      <c r="AL22" s="112"/>
      <c r="AM22" s="112"/>
      <c r="AN22" s="456"/>
    </row>
    <row r="23" spans="1:40" ht="18.600000000000001" customHeight="1">
      <c r="A23" s="642">
        <f t="shared" si="0"/>
        <v>10</v>
      </c>
      <c r="B23" s="35" t="s">
        <v>2053</v>
      </c>
      <c r="C23" s="112"/>
      <c r="D23" s="112"/>
      <c r="E23" s="112"/>
      <c r="F23" s="112"/>
      <c r="G23" s="112"/>
      <c r="H23" s="454"/>
      <c r="I23" s="112"/>
      <c r="J23" s="112"/>
      <c r="K23" s="112"/>
      <c r="L23" s="454"/>
      <c r="M23" s="112"/>
      <c r="N23" s="112"/>
      <c r="O23" s="112"/>
      <c r="P23" s="405"/>
      <c r="Q23" s="406"/>
      <c r="R23" s="407"/>
      <c r="S23" s="406"/>
      <c r="T23" s="407"/>
      <c r="U23" s="112"/>
      <c r="V23" s="406"/>
      <c r="W23" s="407"/>
      <c r="X23" s="406"/>
      <c r="Y23" s="407"/>
      <c r="Z23" s="454"/>
      <c r="AA23" s="112"/>
      <c r="AB23" s="112"/>
      <c r="AC23" s="112"/>
      <c r="AD23" s="454"/>
      <c r="AE23" s="112"/>
      <c r="AF23" s="112"/>
      <c r="AG23" s="454"/>
      <c r="AH23" s="112"/>
      <c r="AI23" s="112"/>
      <c r="AJ23" s="112"/>
      <c r="AK23" s="454"/>
      <c r="AL23" s="112"/>
      <c r="AM23" s="112"/>
      <c r="AN23" s="456"/>
    </row>
    <row r="24" spans="1:40" ht="27" customHeight="1">
      <c r="A24" s="642">
        <f t="shared" si="0"/>
        <v>11</v>
      </c>
      <c r="B24" s="2757" t="s">
        <v>2054</v>
      </c>
      <c r="C24" s="2758"/>
      <c r="D24" s="2758"/>
      <c r="E24" s="2758"/>
      <c r="F24" s="2758"/>
      <c r="G24" s="2759"/>
      <c r="H24" s="454"/>
      <c r="I24" s="112"/>
      <c r="J24" s="112"/>
      <c r="K24" s="112"/>
      <c r="L24" s="454"/>
      <c r="M24" s="112"/>
      <c r="N24" s="112"/>
      <c r="O24" s="112"/>
      <c r="P24" s="405"/>
      <c r="Q24" s="406"/>
      <c r="R24" s="407"/>
      <c r="S24" s="406"/>
      <c r="T24" s="407"/>
      <c r="U24" s="112"/>
      <c r="V24" s="406"/>
      <c r="W24" s="407"/>
      <c r="X24" s="406"/>
      <c r="Y24" s="407"/>
      <c r="Z24" s="454"/>
      <c r="AA24" s="112"/>
      <c r="AB24" s="112"/>
      <c r="AC24" s="112"/>
      <c r="AD24" s="454"/>
      <c r="AE24" s="112"/>
      <c r="AF24" s="112"/>
      <c r="AG24" s="454"/>
      <c r="AH24" s="112"/>
      <c r="AI24" s="112"/>
      <c r="AJ24" s="112"/>
      <c r="AK24" s="454"/>
      <c r="AL24" s="112"/>
      <c r="AM24" s="112"/>
      <c r="AN24" s="456"/>
    </row>
    <row r="25" spans="1:40" ht="18.600000000000001" customHeight="1">
      <c r="A25" s="642">
        <f t="shared" si="0"/>
        <v>12</v>
      </c>
      <c r="B25" s="648" t="s">
        <v>2055</v>
      </c>
      <c r="C25" s="112"/>
      <c r="D25" s="112"/>
      <c r="E25" s="112"/>
      <c r="F25" s="112"/>
      <c r="G25" s="112"/>
      <c r="H25" s="454"/>
      <c r="I25" s="112"/>
      <c r="J25" s="112"/>
      <c r="K25" s="112"/>
      <c r="L25" s="454"/>
      <c r="M25" s="112"/>
      <c r="N25" s="112"/>
      <c r="O25" s="112"/>
      <c r="P25" s="405"/>
      <c r="Q25" s="406"/>
      <c r="R25" s="407"/>
      <c r="S25" s="406"/>
      <c r="T25" s="407"/>
      <c r="U25" s="112"/>
      <c r="V25" s="406"/>
      <c r="W25" s="407"/>
      <c r="X25" s="406"/>
      <c r="Y25" s="407"/>
      <c r="Z25" s="454"/>
      <c r="AA25" s="112"/>
      <c r="AB25" s="112"/>
      <c r="AC25" s="112"/>
      <c r="AD25" s="454"/>
      <c r="AE25" s="112"/>
      <c r="AF25" s="112"/>
      <c r="AG25" s="454"/>
      <c r="AH25" s="112"/>
      <c r="AI25" s="112"/>
      <c r="AJ25" s="112"/>
      <c r="AK25" s="454"/>
      <c r="AL25" s="112"/>
      <c r="AM25" s="112"/>
      <c r="AN25" s="456"/>
    </row>
    <row r="26" spans="1:40" ht="18.600000000000001" customHeight="1">
      <c r="A26" s="642">
        <f t="shared" si="0"/>
        <v>13</v>
      </c>
      <c r="B26" s="649" t="s">
        <v>2056</v>
      </c>
      <c r="C26" s="112"/>
      <c r="D26" s="112"/>
      <c r="E26" s="112"/>
      <c r="F26" s="112"/>
      <c r="G26" s="112"/>
      <c r="H26" s="454"/>
      <c r="I26" s="112"/>
      <c r="J26" s="112"/>
      <c r="K26" s="112"/>
      <c r="L26" s="454"/>
      <c r="M26" s="112"/>
      <c r="N26" s="112"/>
      <c r="O26" s="112"/>
      <c r="P26" s="405"/>
      <c r="Q26" s="406"/>
      <c r="R26" s="407"/>
      <c r="S26" s="406"/>
      <c r="T26" s="407"/>
      <c r="U26" s="112"/>
      <c r="V26" s="406"/>
      <c r="W26" s="407"/>
      <c r="X26" s="406"/>
      <c r="Y26" s="407"/>
      <c r="Z26" s="454"/>
      <c r="AA26" s="112"/>
      <c r="AB26" s="112"/>
      <c r="AC26" s="112"/>
      <c r="AD26" s="454"/>
      <c r="AE26" s="112"/>
      <c r="AF26" s="112"/>
      <c r="AG26" s="454"/>
      <c r="AH26" s="112"/>
      <c r="AI26" s="112"/>
      <c r="AJ26" s="112"/>
      <c r="AK26" s="454"/>
      <c r="AL26" s="112"/>
      <c r="AM26" s="112"/>
      <c r="AN26" s="456"/>
    </row>
    <row r="27" spans="1:40" ht="29.25" customHeight="1">
      <c r="A27" s="642">
        <f t="shared" si="0"/>
        <v>14</v>
      </c>
      <c r="B27" s="2754" t="s">
        <v>2057</v>
      </c>
      <c r="C27" s="2755"/>
      <c r="D27" s="2755"/>
      <c r="E27" s="2755"/>
      <c r="F27" s="2755"/>
      <c r="G27" s="2756"/>
      <c r="H27" s="454"/>
      <c r="I27" s="112"/>
      <c r="J27" s="112"/>
      <c r="K27" s="112"/>
      <c r="L27" s="454"/>
      <c r="M27" s="112"/>
      <c r="N27" s="112"/>
      <c r="O27" s="112"/>
      <c r="P27" s="405"/>
      <c r="Q27" s="406"/>
      <c r="R27" s="407"/>
      <c r="S27" s="406"/>
      <c r="T27" s="407"/>
      <c r="U27" s="112"/>
      <c r="V27" s="406"/>
      <c r="W27" s="407"/>
      <c r="X27" s="406"/>
      <c r="Y27" s="407"/>
      <c r="Z27" s="454"/>
      <c r="AA27" s="112"/>
      <c r="AB27" s="112"/>
      <c r="AC27" s="112"/>
      <c r="AD27" s="454"/>
      <c r="AE27" s="112"/>
      <c r="AF27" s="112"/>
      <c r="AG27" s="454"/>
      <c r="AH27" s="112"/>
      <c r="AI27" s="112"/>
      <c r="AJ27" s="112"/>
      <c r="AK27" s="454"/>
      <c r="AL27" s="112"/>
      <c r="AM27" s="112"/>
      <c r="AN27" s="456"/>
    </row>
    <row r="28" spans="1:40" ht="18.600000000000001" customHeight="1">
      <c r="A28" s="642">
        <f t="shared" si="0"/>
        <v>15</v>
      </c>
      <c r="B28" s="35" t="s">
        <v>2058</v>
      </c>
      <c r="C28" s="112"/>
      <c r="D28" s="112"/>
      <c r="E28" s="112"/>
      <c r="F28" s="112"/>
      <c r="G28" s="112"/>
      <c r="H28" s="454"/>
      <c r="I28" s="112"/>
      <c r="J28" s="112"/>
      <c r="K28" s="112"/>
      <c r="L28" s="454"/>
      <c r="M28" s="112"/>
      <c r="N28" s="112"/>
      <c r="O28" s="112"/>
      <c r="P28" s="405"/>
      <c r="Q28" s="406"/>
      <c r="R28" s="407"/>
      <c r="S28" s="406"/>
      <c r="T28" s="407"/>
      <c r="U28" s="112"/>
      <c r="V28" s="406"/>
      <c r="W28" s="407"/>
      <c r="X28" s="406"/>
      <c r="Y28" s="407"/>
      <c r="Z28" s="454"/>
      <c r="AA28" s="112"/>
      <c r="AB28" s="112"/>
      <c r="AC28" s="112"/>
      <c r="AD28" s="454"/>
      <c r="AE28" s="112"/>
      <c r="AF28" s="112"/>
      <c r="AG28" s="454"/>
      <c r="AH28" s="112"/>
      <c r="AI28" s="112"/>
      <c r="AJ28" s="112"/>
      <c r="AK28" s="454"/>
      <c r="AL28" s="112"/>
      <c r="AM28" s="112"/>
      <c r="AN28" s="456"/>
    </row>
    <row r="29" spans="1:40" ht="18.600000000000001" customHeight="1">
      <c r="A29" s="642">
        <f t="shared" si="0"/>
        <v>16</v>
      </c>
      <c r="B29" s="35" t="s">
        <v>2059</v>
      </c>
      <c r="C29" s="112"/>
      <c r="D29" s="112"/>
      <c r="E29" s="112"/>
      <c r="F29" s="112"/>
      <c r="G29" s="112"/>
      <c r="H29" s="454"/>
      <c r="I29" s="112"/>
      <c r="J29" s="112"/>
      <c r="K29" s="112"/>
      <c r="L29" s="454"/>
      <c r="M29" s="112"/>
      <c r="N29" s="112"/>
      <c r="O29" s="112"/>
      <c r="P29" s="405"/>
      <c r="Q29" s="406"/>
      <c r="R29" s="407"/>
      <c r="S29" s="406"/>
      <c r="T29" s="407"/>
      <c r="U29" s="112"/>
      <c r="V29" s="406"/>
      <c r="W29" s="407"/>
      <c r="X29" s="406"/>
      <c r="Y29" s="407"/>
      <c r="Z29" s="454"/>
      <c r="AA29" s="112"/>
      <c r="AB29" s="112"/>
      <c r="AC29" s="112"/>
      <c r="AD29" s="454"/>
      <c r="AE29" s="112"/>
      <c r="AF29" s="112"/>
      <c r="AG29" s="454"/>
      <c r="AH29" s="112"/>
      <c r="AI29" s="112"/>
      <c r="AJ29" s="112"/>
      <c r="AK29" s="454"/>
      <c r="AL29" s="112"/>
      <c r="AM29" s="112"/>
      <c r="AN29" s="456"/>
    </row>
    <row r="30" spans="1:40" ht="18.600000000000001" customHeight="1">
      <c r="A30" s="642">
        <f t="shared" si="0"/>
        <v>17</v>
      </c>
      <c r="B30" s="35" t="s">
        <v>2060</v>
      </c>
      <c r="C30" s="112"/>
      <c r="D30" s="112"/>
      <c r="E30" s="112"/>
      <c r="F30" s="112"/>
      <c r="G30" s="112"/>
      <c r="H30" s="454"/>
      <c r="I30" s="112"/>
      <c r="J30" s="112"/>
      <c r="K30" s="112"/>
      <c r="L30" s="454"/>
      <c r="M30" s="112"/>
      <c r="N30" s="112"/>
      <c r="O30" s="112"/>
      <c r="P30" s="405"/>
      <c r="Q30" s="406"/>
      <c r="R30" s="407"/>
      <c r="S30" s="406"/>
      <c r="T30" s="407"/>
      <c r="U30" s="112"/>
      <c r="V30" s="406"/>
      <c r="W30" s="407"/>
      <c r="X30" s="406"/>
      <c r="Y30" s="407"/>
      <c r="Z30" s="454"/>
      <c r="AA30" s="112"/>
      <c r="AB30" s="112"/>
      <c r="AC30" s="112"/>
      <c r="AD30" s="454"/>
      <c r="AE30" s="112"/>
      <c r="AF30" s="112"/>
      <c r="AG30" s="454"/>
      <c r="AH30" s="112"/>
      <c r="AI30" s="112"/>
      <c r="AJ30" s="112"/>
      <c r="AK30" s="454"/>
      <c r="AL30" s="112"/>
      <c r="AM30" s="112"/>
      <c r="AN30" s="456"/>
    </row>
    <row r="31" spans="1:40" ht="18.600000000000001" customHeight="1">
      <c r="A31" s="642">
        <f t="shared" si="0"/>
        <v>18</v>
      </c>
      <c r="B31" s="35" t="s">
        <v>2061</v>
      </c>
      <c r="C31" s="112"/>
      <c r="D31" s="112"/>
      <c r="E31" s="112"/>
      <c r="F31" s="112"/>
      <c r="G31" s="112"/>
      <c r="H31" s="454"/>
      <c r="I31" s="112"/>
      <c r="J31" s="112"/>
      <c r="K31" s="112"/>
      <c r="L31" s="454"/>
      <c r="M31" s="112"/>
      <c r="N31" s="112"/>
      <c r="O31" s="112"/>
      <c r="P31" s="405"/>
      <c r="Q31" s="406"/>
      <c r="R31" s="407"/>
      <c r="S31" s="406"/>
      <c r="T31" s="407"/>
      <c r="U31" s="112"/>
      <c r="V31" s="406"/>
      <c r="W31" s="407"/>
      <c r="X31" s="406"/>
      <c r="Y31" s="407"/>
      <c r="Z31" s="454"/>
      <c r="AA31" s="112"/>
      <c r="AB31" s="112"/>
      <c r="AC31" s="112"/>
      <c r="AD31" s="454"/>
      <c r="AE31" s="112"/>
      <c r="AF31" s="112"/>
      <c r="AG31" s="454"/>
      <c r="AH31" s="112"/>
      <c r="AI31" s="112"/>
      <c r="AJ31" s="112"/>
      <c r="AK31" s="454"/>
      <c r="AL31" s="112"/>
      <c r="AM31" s="112"/>
      <c r="AN31" s="456"/>
    </row>
    <row r="32" spans="1:40" ht="18.600000000000001" customHeight="1">
      <c r="A32" s="642">
        <f t="shared" si="0"/>
        <v>19</v>
      </c>
      <c r="B32" s="35" t="s">
        <v>2062</v>
      </c>
      <c r="C32" s="112"/>
      <c r="D32" s="112"/>
      <c r="E32" s="112"/>
      <c r="F32" s="112"/>
      <c r="G32" s="112"/>
      <c r="H32" s="454"/>
      <c r="I32" s="112"/>
      <c r="J32" s="112"/>
      <c r="K32" s="112"/>
      <c r="L32" s="454"/>
      <c r="M32" s="112"/>
      <c r="N32" s="112"/>
      <c r="O32" s="112"/>
      <c r="P32" s="405"/>
      <c r="Q32" s="406"/>
      <c r="R32" s="407"/>
      <c r="S32" s="406"/>
      <c r="T32" s="407"/>
      <c r="U32" s="112"/>
      <c r="V32" s="406"/>
      <c r="W32" s="407"/>
      <c r="X32" s="406"/>
      <c r="Y32" s="407"/>
      <c r="Z32" s="454"/>
      <c r="AA32" s="112"/>
      <c r="AB32" s="112"/>
      <c r="AC32" s="112"/>
      <c r="AD32" s="454"/>
      <c r="AE32" s="112"/>
      <c r="AF32" s="112"/>
      <c r="AG32" s="454"/>
      <c r="AH32" s="112"/>
      <c r="AI32" s="112"/>
      <c r="AJ32" s="112"/>
      <c r="AK32" s="454"/>
      <c r="AL32" s="112"/>
      <c r="AM32" s="112"/>
      <c r="AN32" s="456"/>
    </row>
    <row r="33" spans="1:40" ht="18.600000000000001" customHeight="1">
      <c r="A33" s="642">
        <f t="shared" si="0"/>
        <v>20</v>
      </c>
      <c r="B33" s="35" t="s">
        <v>2063</v>
      </c>
      <c r="C33" s="112"/>
      <c r="D33" s="112"/>
      <c r="E33" s="112"/>
      <c r="F33" s="112"/>
      <c r="G33" s="112"/>
      <c r="H33" s="454"/>
      <c r="I33" s="112"/>
      <c r="J33" s="112"/>
      <c r="K33" s="112"/>
      <c r="L33" s="454"/>
      <c r="M33" s="112"/>
      <c r="N33" s="112"/>
      <c r="O33" s="112"/>
      <c r="P33" s="405"/>
      <c r="Q33" s="406"/>
      <c r="R33" s="407"/>
      <c r="S33" s="406"/>
      <c r="T33" s="407"/>
      <c r="U33" s="112"/>
      <c r="V33" s="406"/>
      <c r="W33" s="407"/>
      <c r="X33" s="406"/>
      <c r="Y33" s="407"/>
      <c r="Z33" s="454"/>
      <c r="AA33" s="112"/>
      <c r="AB33" s="112"/>
      <c r="AC33" s="112"/>
      <c r="AD33" s="454"/>
      <c r="AE33" s="112"/>
      <c r="AF33" s="112"/>
      <c r="AG33" s="454"/>
      <c r="AH33" s="112"/>
      <c r="AI33" s="112"/>
      <c r="AJ33" s="112"/>
      <c r="AK33" s="454"/>
      <c r="AL33" s="112"/>
      <c r="AM33" s="112"/>
      <c r="AN33" s="456"/>
    </row>
    <row r="34" spans="1:40" ht="18.600000000000001" customHeight="1">
      <c r="A34" s="642">
        <f t="shared" si="0"/>
        <v>21</v>
      </c>
      <c r="B34" s="269" t="s">
        <v>2064</v>
      </c>
      <c r="C34" s="112"/>
      <c r="D34" s="112"/>
      <c r="E34" s="112"/>
      <c r="F34" s="112"/>
      <c r="G34" s="112"/>
      <c r="H34" s="454"/>
      <c r="I34" s="112"/>
      <c r="J34" s="112"/>
      <c r="K34" s="112"/>
      <c r="L34" s="454"/>
      <c r="M34" s="112"/>
      <c r="N34" s="112"/>
      <c r="O34" s="112"/>
      <c r="P34" s="405"/>
      <c r="Q34" s="406"/>
      <c r="R34" s="407"/>
      <c r="S34" s="406"/>
      <c r="T34" s="407"/>
      <c r="U34" s="112"/>
      <c r="V34" s="406"/>
      <c r="W34" s="407"/>
      <c r="X34" s="406"/>
      <c r="Y34" s="407"/>
      <c r="Z34" s="454"/>
      <c r="AA34" s="112"/>
      <c r="AB34" s="112"/>
      <c r="AC34" s="112"/>
      <c r="AD34" s="454"/>
      <c r="AE34" s="112"/>
      <c r="AF34" s="112"/>
      <c r="AG34" s="454"/>
      <c r="AH34" s="112"/>
      <c r="AI34" s="112"/>
      <c r="AJ34" s="112"/>
      <c r="AK34" s="454"/>
      <c r="AL34" s="112"/>
      <c r="AM34" s="112"/>
      <c r="AN34" s="456"/>
    </row>
    <row r="35" spans="1:40" ht="18.600000000000001" customHeight="1">
      <c r="A35" s="642">
        <f t="shared" si="0"/>
        <v>22</v>
      </c>
      <c r="B35" s="112" t="s">
        <v>2065</v>
      </c>
      <c r="C35" s="112"/>
      <c r="D35" s="112"/>
      <c r="E35" s="112"/>
      <c r="F35" s="112"/>
      <c r="G35" s="112"/>
      <c r="H35" s="454"/>
      <c r="I35" s="112"/>
      <c r="J35" s="112"/>
      <c r="K35" s="112"/>
      <c r="L35" s="454"/>
      <c r="M35" s="112"/>
      <c r="N35" s="112"/>
      <c r="O35" s="112"/>
      <c r="P35" s="405"/>
      <c r="Q35" s="406"/>
      <c r="R35" s="407"/>
      <c r="S35" s="406"/>
      <c r="T35" s="407"/>
      <c r="U35" s="112"/>
      <c r="V35" s="406"/>
      <c r="W35" s="407"/>
      <c r="X35" s="406"/>
      <c r="Y35" s="407"/>
      <c r="Z35" s="454"/>
      <c r="AA35" s="112"/>
      <c r="AB35" s="112"/>
      <c r="AC35" s="112"/>
      <c r="AD35" s="454"/>
      <c r="AE35" s="112"/>
      <c r="AF35" s="112"/>
      <c r="AG35" s="454"/>
      <c r="AH35" s="112"/>
      <c r="AI35" s="112"/>
      <c r="AJ35" s="112"/>
      <c r="AK35" s="454"/>
      <c r="AL35" s="112"/>
      <c r="AM35" s="112"/>
      <c r="AN35" s="456"/>
    </row>
    <row r="36" spans="1:40" ht="18.600000000000001" customHeight="1">
      <c r="A36" s="642">
        <f t="shared" si="0"/>
        <v>23</v>
      </c>
      <c r="B36" s="112" t="s">
        <v>2066</v>
      </c>
      <c r="C36" s="112"/>
      <c r="D36" s="112"/>
      <c r="E36" s="112"/>
      <c r="F36" s="112"/>
      <c r="G36" s="112"/>
      <c r="H36" s="454"/>
      <c r="I36" s="112"/>
      <c r="J36" s="112"/>
      <c r="K36" s="112"/>
      <c r="L36" s="454"/>
      <c r="M36" s="112"/>
      <c r="N36" s="112"/>
      <c r="O36" s="112"/>
      <c r="P36" s="405"/>
      <c r="Q36" s="406"/>
      <c r="R36" s="407"/>
      <c r="S36" s="406"/>
      <c r="T36" s="407"/>
      <c r="U36" s="112"/>
      <c r="V36" s="406"/>
      <c r="W36" s="407"/>
      <c r="X36" s="406"/>
      <c r="Y36" s="407"/>
      <c r="Z36" s="454"/>
      <c r="AA36" s="112"/>
      <c r="AB36" s="112"/>
      <c r="AC36" s="112"/>
      <c r="AD36" s="454"/>
      <c r="AE36" s="112"/>
      <c r="AF36" s="112"/>
      <c r="AG36" s="454"/>
      <c r="AH36" s="112"/>
      <c r="AI36" s="112"/>
      <c r="AJ36" s="112"/>
      <c r="AK36" s="454"/>
      <c r="AL36" s="112"/>
      <c r="AM36" s="112"/>
      <c r="AN36" s="456"/>
    </row>
    <row r="37" spans="1:40" ht="14.25" customHeight="1">
      <c r="A37" s="642">
        <f t="shared" si="0"/>
        <v>24</v>
      </c>
      <c r="B37" s="112" t="s">
        <v>2067</v>
      </c>
      <c r="C37" s="112"/>
      <c r="D37" s="112"/>
      <c r="E37" s="112"/>
      <c r="F37" s="112"/>
      <c r="G37" s="112"/>
      <c r="H37" s="454"/>
      <c r="I37" s="112"/>
      <c r="J37" s="112"/>
      <c r="K37" s="112"/>
      <c r="L37" s="454"/>
      <c r="M37" s="112"/>
      <c r="N37" s="112"/>
      <c r="O37" s="112"/>
      <c r="P37" s="405"/>
      <c r="Q37" s="406"/>
      <c r="R37" s="407"/>
      <c r="S37" s="406"/>
      <c r="T37" s="407"/>
      <c r="U37" s="112"/>
      <c r="V37" s="406"/>
      <c r="W37" s="407"/>
      <c r="X37" s="406"/>
      <c r="Y37" s="407"/>
      <c r="Z37" s="454"/>
      <c r="AA37" s="112"/>
      <c r="AB37" s="112"/>
      <c r="AC37" s="112"/>
      <c r="AD37" s="454"/>
      <c r="AE37" s="112"/>
      <c r="AF37" s="112"/>
      <c r="AG37" s="454"/>
      <c r="AH37" s="112"/>
      <c r="AI37" s="112"/>
      <c r="AJ37" s="112"/>
      <c r="AK37" s="454"/>
      <c r="AL37" s="112"/>
      <c r="AM37" s="112"/>
      <c r="AN37" s="456"/>
    </row>
    <row r="38" spans="1:40" ht="14.25" customHeight="1">
      <c r="A38" s="642">
        <f t="shared" si="0"/>
        <v>25</v>
      </c>
      <c r="B38" s="112" t="s">
        <v>2068</v>
      </c>
      <c r="C38" s="112"/>
      <c r="D38" s="112"/>
      <c r="E38" s="112"/>
      <c r="F38" s="112"/>
      <c r="G38" s="112"/>
      <c r="H38" s="454"/>
      <c r="I38" s="112"/>
      <c r="J38" s="112"/>
      <c r="K38" s="112"/>
      <c r="L38" s="454"/>
      <c r="M38" s="112"/>
      <c r="N38" s="112"/>
      <c r="O38" s="112"/>
      <c r="P38" s="405"/>
      <c r="Q38" s="406"/>
      <c r="R38" s="407"/>
      <c r="S38" s="406"/>
      <c r="T38" s="407"/>
      <c r="U38" s="112"/>
      <c r="V38" s="406"/>
      <c r="W38" s="407"/>
      <c r="X38" s="406"/>
      <c r="Y38" s="407"/>
      <c r="Z38" s="454"/>
      <c r="AA38" s="112"/>
      <c r="AB38" s="112"/>
      <c r="AC38" s="112"/>
      <c r="AD38" s="454"/>
      <c r="AE38" s="112"/>
      <c r="AF38" s="112"/>
      <c r="AG38" s="454"/>
      <c r="AH38" s="112"/>
      <c r="AI38" s="112"/>
      <c r="AJ38" s="112"/>
      <c r="AK38" s="454"/>
      <c r="AL38" s="112"/>
      <c r="AM38" s="112"/>
      <c r="AN38" s="456"/>
    </row>
    <row r="39" spans="1:40" ht="16.5" customHeight="1">
      <c r="A39" s="642">
        <f t="shared" si="0"/>
        <v>26</v>
      </c>
      <c r="B39" s="2754" t="s">
        <v>2069</v>
      </c>
      <c r="C39" s="2755"/>
      <c r="D39" s="2755"/>
      <c r="E39" s="2755"/>
      <c r="F39" s="2755"/>
      <c r="G39" s="2756"/>
      <c r="H39" s="454"/>
      <c r="I39" s="112"/>
      <c r="J39" s="112"/>
      <c r="K39" s="112"/>
      <c r="L39" s="454"/>
      <c r="M39" s="112"/>
      <c r="N39" s="112"/>
      <c r="O39" s="112"/>
      <c r="P39" s="405"/>
      <c r="Q39" s="406"/>
      <c r="R39" s="407"/>
      <c r="S39" s="406"/>
      <c r="T39" s="407"/>
      <c r="U39" s="112"/>
      <c r="V39" s="406"/>
      <c r="W39" s="407"/>
      <c r="X39" s="406"/>
      <c r="Y39" s="407"/>
      <c r="Z39" s="454"/>
      <c r="AA39" s="112"/>
      <c r="AB39" s="112"/>
      <c r="AC39" s="112"/>
      <c r="AD39" s="454"/>
      <c r="AE39" s="112"/>
      <c r="AF39" s="112"/>
      <c r="AG39" s="454"/>
      <c r="AH39" s="112"/>
      <c r="AI39" s="112"/>
      <c r="AJ39" s="112"/>
      <c r="AK39" s="454"/>
      <c r="AL39" s="112"/>
      <c r="AM39" s="112"/>
      <c r="AN39" s="456"/>
    </row>
    <row r="40" spans="1:40" ht="18.600000000000001" customHeight="1">
      <c r="A40" s="642">
        <f t="shared" si="0"/>
        <v>27</v>
      </c>
      <c r="B40" s="2772" t="s">
        <v>2070</v>
      </c>
      <c r="C40" s="2773"/>
      <c r="D40" s="2773"/>
      <c r="E40" s="2773"/>
      <c r="F40" s="2773"/>
      <c r="G40" s="2774"/>
      <c r="H40" s="454"/>
      <c r="I40" s="112"/>
      <c r="J40" s="112"/>
      <c r="K40" s="112"/>
      <c r="L40" s="454"/>
      <c r="M40" s="112"/>
      <c r="N40" s="112"/>
      <c r="O40" s="112"/>
      <c r="P40" s="405"/>
      <c r="Q40" s="406"/>
      <c r="R40" s="407"/>
      <c r="S40" s="406"/>
      <c r="T40" s="407"/>
      <c r="U40" s="112"/>
      <c r="V40" s="406"/>
      <c r="W40" s="407"/>
      <c r="X40" s="406"/>
      <c r="Y40" s="407"/>
      <c r="Z40" s="454"/>
      <c r="AA40" s="112"/>
      <c r="AB40" s="112"/>
      <c r="AC40" s="112"/>
      <c r="AD40" s="454"/>
      <c r="AE40" s="112"/>
      <c r="AF40" s="112"/>
      <c r="AG40" s="454"/>
      <c r="AH40" s="112"/>
      <c r="AI40" s="112"/>
      <c r="AJ40" s="112"/>
      <c r="AK40" s="454"/>
      <c r="AL40" s="112"/>
      <c r="AM40" s="112"/>
      <c r="AN40" s="456"/>
    </row>
    <row r="41" spans="1:40" ht="18.600000000000001" customHeight="1">
      <c r="A41" s="642">
        <f t="shared" si="0"/>
        <v>28</v>
      </c>
      <c r="B41" s="35" t="s">
        <v>2071</v>
      </c>
      <c r="C41" s="112"/>
      <c r="D41" s="112"/>
      <c r="E41" s="112"/>
      <c r="F41" s="112"/>
      <c r="G41" s="112"/>
      <c r="H41" s="454"/>
      <c r="I41" s="112"/>
      <c r="J41" s="112"/>
      <c r="K41" s="112"/>
      <c r="L41" s="454"/>
      <c r="M41" s="112"/>
      <c r="N41" s="112"/>
      <c r="O41" s="112"/>
      <c r="P41" s="454"/>
      <c r="Q41" s="112"/>
      <c r="R41" s="112"/>
      <c r="S41" s="454"/>
      <c r="T41" s="112"/>
      <c r="U41" s="112"/>
      <c r="V41" s="454"/>
      <c r="W41" s="112"/>
      <c r="X41" s="454"/>
      <c r="Y41" s="112"/>
      <c r="Z41" s="454"/>
      <c r="AA41" s="112"/>
      <c r="AB41" s="112"/>
      <c r="AC41" s="112"/>
      <c r="AD41" s="454"/>
      <c r="AE41" s="112"/>
      <c r="AF41" s="112"/>
      <c r="AG41" s="454"/>
      <c r="AH41" s="112"/>
      <c r="AI41" s="112"/>
      <c r="AJ41" s="112"/>
      <c r="AK41" s="454"/>
      <c r="AL41" s="112"/>
      <c r="AM41" s="112"/>
      <c r="AN41" s="456"/>
    </row>
    <row r="42" spans="1:40" ht="18.600000000000001" customHeight="1">
      <c r="A42" s="642">
        <f t="shared" si="0"/>
        <v>29</v>
      </c>
      <c r="B42" s="112" t="s">
        <v>2072</v>
      </c>
      <c r="C42" s="112"/>
      <c r="D42" s="112"/>
      <c r="E42" s="112"/>
      <c r="F42" s="112"/>
      <c r="G42" s="112"/>
      <c r="H42" s="454"/>
      <c r="I42" s="112"/>
      <c r="J42" s="112"/>
      <c r="K42" s="112"/>
      <c r="L42" s="454"/>
      <c r="M42" s="112"/>
      <c r="N42" s="112"/>
      <c r="O42" s="112"/>
      <c r="P42" s="454"/>
      <c r="Q42" s="112"/>
      <c r="R42" s="112"/>
      <c r="S42" s="454"/>
      <c r="T42" s="112"/>
      <c r="U42" s="112"/>
      <c r="V42" s="454"/>
      <c r="W42" s="112"/>
      <c r="X42" s="454"/>
      <c r="Y42" s="112"/>
      <c r="Z42" s="454"/>
      <c r="AA42" s="112"/>
      <c r="AB42" s="112"/>
      <c r="AC42" s="112"/>
      <c r="AD42" s="454"/>
      <c r="AE42" s="112"/>
      <c r="AF42" s="112"/>
      <c r="AG42" s="454"/>
      <c r="AH42" s="112"/>
      <c r="AI42" s="112"/>
      <c r="AJ42" s="112"/>
      <c r="AK42" s="454"/>
      <c r="AL42" s="112"/>
      <c r="AM42" s="112"/>
      <c r="AN42" s="456"/>
    </row>
    <row r="43" spans="1:40" ht="18.600000000000001" customHeight="1">
      <c r="A43" s="642">
        <f t="shared" si="0"/>
        <v>30</v>
      </c>
      <c r="B43" s="35" t="s">
        <v>2073</v>
      </c>
      <c r="C43" s="112"/>
      <c r="D43" s="112"/>
      <c r="E43" s="112"/>
      <c r="F43" s="112"/>
      <c r="G43" s="112"/>
      <c r="H43" s="454"/>
      <c r="I43" s="112"/>
      <c r="J43" s="112"/>
      <c r="K43" s="112"/>
      <c r="L43" s="454"/>
      <c r="M43" s="112"/>
      <c r="N43" s="112"/>
      <c r="O43" s="112"/>
      <c r="P43" s="454"/>
      <c r="Q43" s="112"/>
      <c r="R43" s="112"/>
      <c r="S43" s="454"/>
      <c r="T43" s="112"/>
      <c r="U43" s="112"/>
      <c r="V43" s="454"/>
      <c r="W43" s="112"/>
      <c r="X43" s="454"/>
      <c r="Y43" s="112"/>
      <c r="Z43" s="454"/>
      <c r="AA43" s="112"/>
      <c r="AB43" s="112"/>
      <c r="AC43" s="112"/>
      <c r="AD43" s="454"/>
      <c r="AE43" s="112"/>
      <c r="AF43" s="112"/>
      <c r="AG43" s="454"/>
      <c r="AH43" s="112"/>
      <c r="AI43" s="112"/>
      <c r="AJ43" s="112"/>
      <c r="AK43" s="454"/>
      <c r="AL43" s="112"/>
      <c r="AM43" s="112"/>
      <c r="AN43" s="456"/>
    </row>
    <row r="44" spans="1:40" ht="18.600000000000001" customHeight="1">
      <c r="A44" s="642">
        <f t="shared" si="0"/>
        <v>31</v>
      </c>
      <c r="B44" s="35" t="s">
        <v>2074</v>
      </c>
      <c r="C44" s="112"/>
      <c r="D44" s="112"/>
      <c r="E44" s="112"/>
      <c r="F44" s="112"/>
      <c r="G44" s="112"/>
      <c r="H44" s="454"/>
      <c r="I44" s="112"/>
      <c r="J44" s="112"/>
      <c r="K44" s="112"/>
      <c r="L44" s="454"/>
      <c r="M44" s="112"/>
      <c r="N44" s="112"/>
      <c r="O44" s="112"/>
      <c r="P44" s="405"/>
      <c r="Q44" s="406"/>
      <c r="R44" s="407"/>
      <c r="S44" s="406"/>
      <c r="T44" s="407"/>
      <c r="U44" s="112"/>
      <c r="V44" s="406"/>
      <c r="W44" s="407"/>
      <c r="X44" s="406"/>
      <c r="Y44" s="407"/>
      <c r="Z44" s="454"/>
      <c r="AA44" s="112"/>
      <c r="AB44" s="112"/>
      <c r="AC44" s="112"/>
      <c r="AD44" s="454"/>
      <c r="AE44" s="112"/>
      <c r="AF44" s="112"/>
      <c r="AG44" s="454"/>
      <c r="AH44" s="112"/>
      <c r="AI44" s="112"/>
      <c r="AJ44" s="112"/>
      <c r="AK44" s="454"/>
      <c r="AL44" s="112"/>
      <c r="AM44" s="112"/>
      <c r="AN44" s="456"/>
    </row>
    <row r="45" spans="1:40" ht="18.600000000000001" customHeight="1">
      <c r="A45" s="642">
        <f t="shared" si="0"/>
        <v>32</v>
      </c>
      <c r="B45" s="35" t="s">
        <v>2075</v>
      </c>
      <c r="C45" s="112"/>
      <c r="D45" s="112"/>
      <c r="E45" s="112"/>
      <c r="F45" s="112"/>
      <c r="G45" s="112"/>
      <c r="H45" s="454"/>
      <c r="I45" s="112"/>
      <c r="J45" s="112"/>
      <c r="K45" s="112"/>
      <c r="L45" s="454"/>
      <c r="M45" s="112"/>
      <c r="N45" s="112"/>
      <c r="O45" s="112"/>
      <c r="P45" s="610"/>
      <c r="Q45" s="297"/>
      <c r="R45" s="298"/>
      <c r="S45" s="297"/>
      <c r="T45" s="298"/>
      <c r="U45" s="112"/>
      <c r="V45" s="297"/>
      <c r="W45" s="298"/>
      <c r="X45" s="297"/>
      <c r="Y45" s="298"/>
      <c r="Z45" s="454"/>
      <c r="AA45" s="112"/>
      <c r="AB45" s="112"/>
      <c r="AC45" s="112"/>
      <c r="AD45" s="454"/>
      <c r="AE45" s="112"/>
      <c r="AF45" s="112"/>
      <c r="AG45" s="454"/>
      <c r="AH45" s="112"/>
      <c r="AI45" s="112"/>
      <c r="AJ45" s="112"/>
      <c r="AK45" s="454"/>
      <c r="AL45" s="112"/>
      <c r="AM45" s="112"/>
      <c r="AN45" s="456"/>
    </row>
    <row r="46" spans="1:40" ht="18.600000000000001" customHeight="1">
      <c r="A46" s="642">
        <f t="shared" si="0"/>
        <v>33</v>
      </c>
      <c r="B46" s="35" t="s">
        <v>2076</v>
      </c>
      <c r="C46" s="112"/>
      <c r="D46" s="112"/>
      <c r="E46" s="112"/>
      <c r="F46" s="112"/>
      <c r="G46" s="112"/>
      <c r="H46" s="454"/>
      <c r="I46" s="112"/>
      <c r="J46" s="112"/>
      <c r="K46" s="112"/>
      <c r="L46" s="454"/>
      <c r="M46" s="112"/>
      <c r="N46" s="112"/>
      <c r="O46" s="112"/>
      <c r="P46" s="405"/>
      <c r="Q46" s="406"/>
      <c r="R46" s="407"/>
      <c r="S46" s="405"/>
      <c r="T46" s="407"/>
      <c r="U46" s="112"/>
      <c r="V46" s="405"/>
      <c r="W46" s="407"/>
      <c r="X46" s="405"/>
      <c r="Y46" s="407"/>
      <c r="Z46" s="454"/>
      <c r="AA46" s="112"/>
      <c r="AB46" s="112"/>
      <c r="AC46" s="112"/>
      <c r="AD46" s="454"/>
      <c r="AE46" s="112"/>
      <c r="AF46" s="112"/>
      <c r="AG46" s="454"/>
      <c r="AH46" s="112"/>
      <c r="AI46" s="112"/>
      <c r="AJ46" s="112"/>
      <c r="AK46" s="454"/>
      <c r="AL46" s="112"/>
      <c r="AM46" s="112"/>
      <c r="AN46" s="456"/>
    </row>
    <row r="47" spans="1:40" ht="18.600000000000001" customHeight="1">
      <c r="A47" s="642">
        <f t="shared" si="0"/>
        <v>34</v>
      </c>
      <c r="B47" s="35" t="s">
        <v>2077</v>
      </c>
      <c r="C47" s="112"/>
      <c r="D47" s="112"/>
      <c r="E47" s="112"/>
      <c r="F47" s="112"/>
      <c r="G47" s="112"/>
      <c r="H47" s="454"/>
      <c r="I47" s="112"/>
      <c r="J47" s="112"/>
      <c r="K47" s="112"/>
      <c r="L47" s="454"/>
      <c r="M47" s="112"/>
      <c r="N47" s="112"/>
      <c r="O47" s="112"/>
      <c r="P47" s="277"/>
      <c r="Q47" s="410"/>
      <c r="R47" s="411"/>
      <c r="S47" s="410"/>
      <c r="T47" s="411"/>
      <c r="U47" s="112"/>
      <c r="V47" s="410"/>
      <c r="W47" s="411"/>
      <c r="X47" s="410"/>
      <c r="Y47" s="411"/>
      <c r="Z47" s="454"/>
      <c r="AA47" s="112"/>
      <c r="AB47" s="112"/>
      <c r="AC47" s="112"/>
      <c r="AD47" s="454"/>
      <c r="AE47" s="112"/>
      <c r="AF47" s="112"/>
      <c r="AG47" s="454"/>
      <c r="AH47" s="112"/>
      <c r="AI47" s="112"/>
      <c r="AJ47" s="456"/>
      <c r="AK47" s="454"/>
      <c r="AL47" s="112"/>
      <c r="AM47" s="112"/>
      <c r="AN47" s="456"/>
    </row>
    <row r="48" spans="1:40" ht="15.75" customHeight="1">
      <c r="A48" s="642">
        <f t="shared" si="0"/>
        <v>35</v>
      </c>
      <c r="B48" s="35" t="s">
        <v>536</v>
      </c>
      <c r="C48" s="112"/>
      <c r="D48" s="112"/>
      <c r="E48" s="112"/>
      <c r="F48" s="112"/>
      <c r="G48" s="112"/>
      <c r="H48" s="454"/>
      <c r="I48" s="112"/>
      <c r="J48" s="112"/>
      <c r="K48" s="112"/>
      <c r="L48" s="454"/>
      <c r="M48" s="112"/>
      <c r="N48" s="112"/>
      <c r="O48" s="112"/>
      <c r="P48" s="454"/>
      <c r="Q48" s="112"/>
      <c r="R48" s="112"/>
      <c r="S48" s="454"/>
      <c r="T48" s="112"/>
      <c r="U48" s="112"/>
      <c r="V48" s="454"/>
      <c r="W48" s="112"/>
      <c r="X48" s="454"/>
      <c r="Y48" s="112"/>
      <c r="Z48" s="454"/>
      <c r="AA48" s="112"/>
      <c r="AB48" s="112"/>
      <c r="AC48" s="112"/>
      <c r="AD48" s="454"/>
      <c r="AE48" s="112"/>
      <c r="AF48" s="112"/>
      <c r="AG48" s="454"/>
      <c r="AH48" s="112"/>
      <c r="AI48" s="112"/>
      <c r="AJ48" s="456"/>
      <c r="AK48" s="454"/>
      <c r="AL48" s="112"/>
      <c r="AM48" s="112"/>
      <c r="AN48" s="456"/>
    </row>
    <row r="49" spans="1:40" ht="14.25" customHeight="1">
      <c r="A49" s="642">
        <f t="shared" si="0"/>
        <v>36</v>
      </c>
      <c r="B49" s="35" t="s">
        <v>2078</v>
      </c>
      <c r="C49" s="112"/>
      <c r="D49" s="112"/>
      <c r="E49" s="112"/>
      <c r="F49" s="112"/>
      <c r="G49" s="112"/>
      <c r="H49" s="454"/>
      <c r="I49" s="112"/>
      <c r="J49" s="112"/>
      <c r="K49" s="112"/>
      <c r="L49" s="454"/>
      <c r="M49" s="112"/>
      <c r="N49" s="112"/>
      <c r="O49" s="112"/>
      <c r="P49" s="454"/>
      <c r="Q49" s="112"/>
      <c r="R49" s="112"/>
      <c r="S49" s="454"/>
      <c r="T49" s="112"/>
      <c r="U49" s="112"/>
      <c r="V49" s="454"/>
      <c r="W49" s="112"/>
      <c r="X49" s="454"/>
      <c r="Y49" s="112"/>
      <c r="Z49" s="454"/>
      <c r="AA49" s="112"/>
      <c r="AB49" s="112"/>
      <c r="AC49" s="112"/>
      <c r="AD49" s="454"/>
      <c r="AE49" s="112"/>
      <c r="AF49" s="112"/>
      <c r="AG49" s="454"/>
      <c r="AH49" s="112"/>
      <c r="AI49" s="112"/>
      <c r="AJ49" s="456"/>
      <c r="AK49" s="454"/>
      <c r="AL49" s="112"/>
      <c r="AM49" s="112"/>
      <c r="AN49" s="456"/>
    </row>
    <row r="50" spans="1:40" ht="11.25" customHeight="1">
      <c r="A50" s="642">
        <f t="shared" si="0"/>
        <v>37</v>
      </c>
      <c r="B50" s="35" t="s">
        <v>2079</v>
      </c>
      <c r="C50" s="112"/>
      <c r="D50" s="112"/>
      <c r="E50" s="112"/>
      <c r="F50" s="112"/>
      <c r="G50" s="112"/>
      <c r="H50" s="454"/>
      <c r="I50" s="112"/>
      <c r="J50" s="112"/>
      <c r="K50" s="112"/>
      <c r="L50" s="454"/>
      <c r="M50" s="112"/>
      <c r="N50" s="112"/>
      <c r="O50" s="112"/>
      <c r="P50" s="454"/>
      <c r="Q50" s="112"/>
      <c r="R50" s="112"/>
      <c r="S50" s="454"/>
      <c r="T50" s="112"/>
      <c r="U50" s="112"/>
      <c r="V50" s="454"/>
      <c r="W50" s="112"/>
      <c r="X50" s="454"/>
      <c r="Y50" s="112"/>
      <c r="Z50" s="454"/>
      <c r="AA50" s="112"/>
      <c r="AB50" s="112"/>
      <c r="AC50" s="112"/>
      <c r="AD50" s="454"/>
      <c r="AE50" s="112"/>
      <c r="AF50" s="112"/>
      <c r="AG50" s="454"/>
      <c r="AH50" s="112"/>
      <c r="AI50" s="112"/>
      <c r="AJ50" s="456"/>
      <c r="AK50" s="454"/>
      <c r="AL50" s="112"/>
      <c r="AM50" s="112"/>
      <c r="AN50" s="456"/>
    </row>
    <row r="51" spans="1:40" ht="12.75" customHeight="1">
      <c r="A51" s="642">
        <f t="shared" si="0"/>
        <v>38</v>
      </c>
      <c r="B51" s="35" t="s">
        <v>2080</v>
      </c>
      <c r="C51" s="112"/>
      <c r="D51" s="112"/>
      <c r="E51" s="112"/>
      <c r="F51" s="112"/>
      <c r="G51" s="112"/>
      <c r="H51" s="454"/>
      <c r="I51" s="112"/>
      <c r="J51" s="112"/>
      <c r="K51" s="112"/>
      <c r="L51" s="454"/>
      <c r="M51" s="112"/>
      <c r="N51" s="112"/>
      <c r="O51" s="112"/>
      <c r="P51" s="454"/>
      <c r="Q51" s="112"/>
      <c r="R51" s="112"/>
      <c r="S51" s="454"/>
      <c r="T51" s="112"/>
      <c r="U51" s="112"/>
      <c r="V51" s="454"/>
      <c r="W51" s="112"/>
      <c r="X51" s="454"/>
      <c r="Y51" s="112"/>
      <c r="Z51" s="454"/>
      <c r="AA51" s="112"/>
      <c r="AB51" s="112"/>
      <c r="AC51" s="112"/>
      <c r="AD51" s="454"/>
      <c r="AE51" s="112"/>
      <c r="AF51" s="112"/>
      <c r="AG51" s="454"/>
      <c r="AH51" s="112"/>
      <c r="AI51" s="112"/>
      <c r="AJ51" s="456"/>
      <c r="AK51" s="454"/>
      <c r="AL51" s="112"/>
      <c r="AM51" s="112"/>
      <c r="AN51" s="456"/>
    </row>
    <row r="52" spans="1:40" ht="15.75" customHeight="1">
      <c r="A52" s="642">
        <f t="shared" si="0"/>
        <v>39</v>
      </c>
      <c r="B52" s="35" t="s">
        <v>2081</v>
      </c>
      <c r="C52" s="112"/>
      <c r="D52" s="112"/>
      <c r="E52" s="112"/>
      <c r="F52" s="112"/>
      <c r="G52" s="112"/>
      <c r="H52" s="454"/>
      <c r="I52" s="112"/>
      <c r="J52" s="112"/>
      <c r="K52" s="112"/>
      <c r="L52" s="454"/>
      <c r="M52" s="112"/>
      <c r="N52" s="112"/>
      <c r="O52" s="112"/>
      <c r="P52" s="405"/>
      <c r="Q52" s="406"/>
      <c r="R52" s="407"/>
      <c r="S52" s="406"/>
      <c r="T52" s="407"/>
      <c r="U52" s="112"/>
      <c r="V52" s="406"/>
      <c r="W52" s="407"/>
      <c r="X52" s="406"/>
      <c r="Y52" s="407"/>
      <c r="Z52" s="454"/>
      <c r="AA52" s="112"/>
      <c r="AB52" s="112"/>
      <c r="AC52" s="112"/>
      <c r="AD52" s="454"/>
      <c r="AE52" s="112"/>
      <c r="AF52" s="112"/>
      <c r="AG52" s="454"/>
      <c r="AH52" s="112"/>
      <c r="AI52" s="112"/>
      <c r="AJ52" s="456"/>
      <c r="AK52" s="454"/>
      <c r="AL52" s="112"/>
      <c r="AM52" s="112"/>
      <c r="AN52" s="456"/>
    </row>
    <row r="53" spans="1:40" ht="12" customHeight="1">
      <c r="A53" s="642">
        <f t="shared" si="0"/>
        <v>40</v>
      </c>
      <c r="B53" s="2757" t="s">
        <v>2082</v>
      </c>
      <c r="C53" s="2758"/>
      <c r="D53" s="2758"/>
      <c r="E53" s="2758"/>
      <c r="F53" s="2758"/>
      <c r="G53" s="2759"/>
      <c r="H53" s="454"/>
      <c r="I53" s="112"/>
      <c r="J53" s="112"/>
      <c r="K53" s="112"/>
      <c r="L53" s="454"/>
      <c r="M53" s="112"/>
      <c r="N53" s="112"/>
      <c r="O53" s="112"/>
      <c r="P53" s="454"/>
      <c r="Q53" s="112"/>
      <c r="R53" s="112"/>
      <c r="S53" s="454"/>
      <c r="T53" s="112"/>
      <c r="U53" s="112"/>
      <c r="V53" s="454"/>
      <c r="W53" s="112"/>
      <c r="X53" s="454"/>
      <c r="Y53" s="112"/>
      <c r="Z53" s="454"/>
      <c r="AA53" s="112"/>
      <c r="AB53" s="112"/>
      <c r="AC53" s="112"/>
      <c r="AD53" s="454"/>
      <c r="AE53" s="112"/>
      <c r="AF53" s="112"/>
      <c r="AG53" s="454"/>
      <c r="AH53" s="112"/>
      <c r="AI53" s="112"/>
      <c r="AJ53" s="456"/>
      <c r="AK53" s="454"/>
      <c r="AL53" s="112"/>
      <c r="AM53" s="112"/>
      <c r="AN53" s="456"/>
    </row>
    <row r="54" spans="1:40" ht="16.5" customHeight="1">
      <c r="A54" s="642">
        <f t="shared" si="0"/>
        <v>41</v>
      </c>
      <c r="B54" s="650" t="s">
        <v>2083</v>
      </c>
      <c r="C54" s="651"/>
      <c r="D54" s="651"/>
      <c r="E54" s="651"/>
      <c r="F54" s="651"/>
      <c r="G54" s="651"/>
      <c r="H54" s="454"/>
      <c r="I54" s="112"/>
      <c r="J54" s="112"/>
      <c r="K54" s="112"/>
      <c r="L54" s="454"/>
      <c r="M54" s="112"/>
      <c r="N54" s="112"/>
      <c r="O54" s="112"/>
      <c r="P54" s="454"/>
      <c r="Q54" s="112"/>
      <c r="R54" s="112"/>
      <c r="S54" s="454"/>
      <c r="T54" s="112"/>
      <c r="U54" s="112"/>
      <c r="V54" s="454"/>
      <c r="W54" s="112"/>
      <c r="X54" s="454"/>
      <c r="Y54" s="112"/>
      <c r="Z54" s="454"/>
      <c r="AA54" s="112"/>
      <c r="AB54" s="112"/>
      <c r="AC54" s="112"/>
      <c r="AD54" s="454"/>
      <c r="AE54" s="112"/>
      <c r="AF54" s="112"/>
      <c r="AG54" s="454"/>
      <c r="AH54" s="112"/>
      <c r="AI54" s="112"/>
      <c r="AJ54" s="456"/>
      <c r="AK54" s="454"/>
      <c r="AL54" s="112"/>
      <c r="AM54" s="112"/>
      <c r="AN54" s="456"/>
    </row>
    <row r="55" spans="1:40" ht="18.600000000000001" customHeight="1">
      <c r="A55" s="642">
        <f t="shared" si="0"/>
        <v>42</v>
      </c>
      <c r="B55" s="35" t="s">
        <v>2084</v>
      </c>
      <c r="C55" s="112"/>
      <c r="D55" s="112"/>
      <c r="E55" s="112"/>
      <c r="F55" s="112"/>
      <c r="G55" s="112"/>
      <c r="H55" s="454"/>
      <c r="I55" s="112"/>
      <c r="J55" s="112"/>
      <c r="K55" s="112"/>
      <c r="L55" s="454"/>
      <c r="M55" s="112"/>
      <c r="N55" s="112"/>
      <c r="O55" s="112"/>
      <c r="P55" s="454"/>
      <c r="Q55" s="112"/>
      <c r="R55" s="112"/>
      <c r="S55" s="454"/>
      <c r="T55" s="112"/>
      <c r="U55" s="112"/>
      <c r="V55" s="454"/>
      <c r="W55" s="112"/>
      <c r="X55" s="454"/>
      <c r="Y55" s="112"/>
      <c r="Z55" s="454"/>
      <c r="AA55" s="112"/>
      <c r="AB55" s="112"/>
      <c r="AC55" s="112"/>
      <c r="AD55" s="454"/>
      <c r="AE55" s="112"/>
      <c r="AF55" s="112"/>
      <c r="AG55" s="454"/>
      <c r="AH55" s="112"/>
      <c r="AI55" s="112"/>
      <c r="AJ55" s="456"/>
      <c r="AK55" s="454"/>
      <c r="AL55" s="112"/>
      <c r="AM55" s="112"/>
      <c r="AN55" s="456"/>
    </row>
    <row r="56" spans="1:40" ht="18.600000000000001" customHeight="1">
      <c r="A56" s="642">
        <f t="shared" si="0"/>
        <v>43</v>
      </c>
      <c r="B56" s="35" t="s">
        <v>2085</v>
      </c>
      <c r="C56" s="112"/>
      <c r="D56" s="112"/>
      <c r="E56" s="112"/>
      <c r="F56" s="112"/>
      <c r="G56" s="112"/>
      <c r="H56" s="454"/>
      <c r="I56" s="112"/>
      <c r="J56" s="112"/>
      <c r="K56" s="112"/>
      <c r="L56" s="454"/>
      <c r="M56" s="112"/>
      <c r="N56" s="112"/>
      <c r="O56" s="112"/>
      <c r="P56" s="454"/>
      <c r="Q56" s="112"/>
      <c r="R56" s="112"/>
      <c r="S56" s="454"/>
      <c r="T56" s="112"/>
      <c r="U56" s="112"/>
      <c r="V56" s="454"/>
      <c r="W56" s="112"/>
      <c r="X56" s="454"/>
      <c r="Y56" s="112"/>
      <c r="Z56" s="454"/>
      <c r="AA56" s="112"/>
      <c r="AB56" s="112"/>
      <c r="AC56" s="112"/>
      <c r="AD56" s="454"/>
      <c r="AE56" s="112"/>
      <c r="AF56" s="112"/>
      <c r="AG56" s="454"/>
      <c r="AH56" s="112"/>
      <c r="AI56" s="112"/>
      <c r="AJ56" s="456"/>
      <c r="AK56" s="454"/>
      <c r="AL56" s="112"/>
      <c r="AM56" s="112"/>
      <c r="AN56" s="456"/>
    </row>
    <row r="57" spans="1:40" ht="18.600000000000001" customHeight="1">
      <c r="A57" s="642">
        <f t="shared" si="0"/>
        <v>44</v>
      </c>
      <c r="B57" s="35" t="s">
        <v>2086</v>
      </c>
      <c r="C57" s="112"/>
      <c r="D57" s="112"/>
      <c r="E57" s="112"/>
      <c r="F57" s="112"/>
      <c r="G57" s="112"/>
      <c r="H57" s="454"/>
      <c r="I57" s="112"/>
      <c r="J57" s="112"/>
      <c r="K57" s="112"/>
      <c r="L57" s="454"/>
      <c r="M57" s="112"/>
      <c r="N57" s="112"/>
      <c r="O57" s="112"/>
      <c r="P57" s="454"/>
      <c r="Q57" s="112"/>
      <c r="R57" s="112"/>
      <c r="S57" s="454"/>
      <c r="T57" s="112"/>
      <c r="U57" s="112"/>
      <c r="V57" s="454"/>
      <c r="W57" s="112"/>
      <c r="X57" s="454"/>
      <c r="Y57" s="112"/>
      <c r="Z57" s="454"/>
      <c r="AA57" s="112"/>
      <c r="AB57" s="112"/>
      <c r="AC57" s="112"/>
      <c r="AD57" s="454"/>
      <c r="AE57" s="112"/>
      <c r="AF57" s="112"/>
      <c r="AG57" s="454"/>
      <c r="AH57" s="112"/>
      <c r="AI57" s="112"/>
      <c r="AJ57" s="456"/>
      <c r="AK57" s="454"/>
      <c r="AL57" s="112"/>
      <c r="AM57" s="112"/>
      <c r="AN57" s="456"/>
    </row>
    <row r="58" spans="1:40" ht="18.600000000000001" customHeight="1">
      <c r="A58" s="642">
        <f t="shared" si="0"/>
        <v>45</v>
      </c>
      <c r="B58" s="35" t="s">
        <v>2087</v>
      </c>
      <c r="C58" s="112"/>
      <c r="D58" s="112"/>
      <c r="E58" s="112"/>
      <c r="F58" s="112"/>
      <c r="G58" s="112"/>
      <c r="H58" s="454" t="s">
        <v>1709</v>
      </c>
      <c r="I58" s="112"/>
      <c r="J58" s="112"/>
      <c r="K58" s="112"/>
      <c r="L58" s="454"/>
      <c r="M58" s="112"/>
      <c r="N58" s="112"/>
      <c r="O58" s="112"/>
      <c r="P58" s="454"/>
      <c r="Q58" s="112"/>
      <c r="R58" s="112"/>
      <c r="S58" s="454"/>
      <c r="T58" s="112"/>
      <c r="U58" s="112"/>
      <c r="V58" s="454"/>
      <c r="W58" s="112"/>
      <c r="X58" s="454"/>
      <c r="Y58" s="112"/>
      <c r="Z58" s="454"/>
      <c r="AA58" s="112"/>
      <c r="AB58" s="112"/>
      <c r="AC58" s="112"/>
      <c r="AD58" s="454"/>
      <c r="AE58" s="112"/>
      <c r="AF58" s="112"/>
      <c r="AG58" s="454"/>
      <c r="AH58" s="112"/>
      <c r="AI58" s="112"/>
      <c r="AJ58" s="456"/>
      <c r="AK58" s="454"/>
      <c r="AL58" s="112"/>
      <c r="AM58" s="112"/>
      <c r="AN58" s="456"/>
    </row>
  </sheetData>
  <customSheetViews>
    <customSheetView guid="{9C153D9E-615C-443B-9CD7-551163282F03}" scale="110" showPageBreaks="1" printArea="1" hiddenColumns="1" view="pageLayout" topLeftCell="A33">
      <selection activeCell="B52" sqref="B52:G56"/>
      <rowBreaks count="1" manualBreakCount="1">
        <brk id="34" max="39" man="1"/>
      </rowBreaks>
      <pageMargins left="0" right="0" top="0" bottom="0" header="0" footer="0"/>
      <pageSetup scale="98" firstPageNumber="34" orientation="landscape" r:id="rId1"/>
      <headerFooter>
        <oddFooter>&amp;C&amp;P</oddFooter>
      </headerFooter>
    </customSheetView>
    <customSheetView guid="{BE9F68F7-D81B-4526-9959-D871EC50BDFF}" scale="110" showPageBreaks="1" printArea="1" hiddenColumns="1" view="pageLayout" topLeftCell="A33">
      <selection activeCell="B52" sqref="B52:G56"/>
      <rowBreaks count="1" manualBreakCount="1">
        <brk id="34" max="39" man="1"/>
      </rowBreaks>
      <pageMargins left="0" right="0" top="0" bottom="0" header="0" footer="0"/>
      <pageSetup scale="98" firstPageNumber="34" orientation="landscape" r:id="rId2"/>
      <headerFooter>
        <oddFooter>&amp;C&amp;P</oddFooter>
      </headerFooter>
    </customSheetView>
    <customSheetView guid="{EF790C5B-80DA-4544-9EB7-EFE0323B2298}" scale="150" showPageBreaks="1" printArea="1" hiddenColumns="1" view="pageLayout" topLeftCell="AE1">
      <selection activeCell="Z5" sqref="Z5:AF12"/>
      <rowBreaks count="1" manualBreakCount="1">
        <brk id="35" max="39" man="1"/>
      </rowBreaks>
      <pageMargins left="0" right="0" top="0" bottom="0" header="0" footer="0"/>
      <pageSetup scale="98" firstPageNumber="34" orientation="landscape" r:id="rId3"/>
      <headerFooter>
        <oddFooter>&amp;C&amp;P</oddFooter>
      </headerFooter>
    </customSheetView>
    <customSheetView guid="{C9D2DBB1-CD01-4732-8C86-64BE16C94753}" showPageBreaks="1" printArea="1" hiddenColumns="1" view="pageBreakPreview">
      <rowBreaks count="1" manualBreakCount="1">
        <brk id="34" max="39" man="1"/>
      </rowBreaks>
      <pageMargins left="0" right="0" top="0" bottom="0" header="0" footer="0"/>
      <pageSetup scale="98" firstPageNumber="34" orientation="landscape" r:id="rId4"/>
      <headerFooter>
        <oddFooter>&amp;C&amp;P</oddFooter>
      </headerFooter>
    </customSheetView>
    <customSheetView guid="{BFEC163F-7C4E-49B7-9F32-15225772E72F}" scale="124" showPageBreaks="1" printArea="1" hiddenColumns="1" view="pageBreakPreview" topLeftCell="A19">
      <selection activeCell="B52" sqref="B52:G52"/>
      <rowBreaks count="1" manualBreakCount="1">
        <brk id="34" max="39" man="1"/>
      </rowBreaks>
      <pageMargins left="0" right="0" top="0" bottom="0" header="0" footer="0"/>
      <pageSetup scale="98" firstPageNumber="34" orientation="landscape" r:id="rId5"/>
      <headerFooter>
        <oddFooter>&amp;C&amp;P</oddFooter>
      </headerFooter>
    </customSheetView>
    <customSheetView guid="{5529DB6B-163A-4048-9107-267B30B97DF3}" scale="124" showPageBreaks="1" printArea="1" hiddenColumns="1" view="pageBreakPreview" topLeftCell="A31">
      <selection activeCell="B52" sqref="B52:G52"/>
      <rowBreaks count="1" manualBreakCount="1">
        <brk id="34" max="39" man="1"/>
      </rowBreaks>
      <pageMargins left="0" right="0" top="0" bottom="0" header="0" footer="0"/>
      <pageSetup scale="98" firstPageNumber="34" orientation="landscape" r:id="rId6"/>
      <headerFooter>
        <oddFooter>&amp;C&amp;P</oddFooter>
      </headerFooter>
    </customSheetView>
    <customSheetView guid="{9B0763AA-FA4B-479A-900C-C113E8BEEFEB}" scale="110" showPageBreaks="1" printArea="1" hiddenColumns="1" view="pageLayout" topLeftCell="A45">
      <selection activeCell="B52" sqref="B52:G56"/>
      <rowBreaks count="1" manualBreakCount="1">
        <brk id="34" max="39" man="1"/>
      </rowBreaks>
      <pageMargins left="0" right="0" top="0" bottom="0" header="0" footer="0"/>
      <pageSetup scale="98" firstPageNumber="34" orientation="landscape" r:id="rId7"/>
      <headerFooter>
        <oddFooter>&amp;C&amp;P</oddFooter>
      </headerFooter>
    </customSheetView>
    <customSheetView guid="{89903799-8228-4A6D-8A81-7F80BC61226D}" scale="130" showPageBreaks="1" printArea="1" hiddenColumns="1" view="pageLayout" topLeftCell="A2">
      <selection activeCell="B2" sqref="B2"/>
      <rowBreaks count="1" manualBreakCount="1">
        <brk id="34" max="39" man="1"/>
      </rowBreaks>
      <pageMargins left="0" right="0" top="0" bottom="0" header="0" footer="0"/>
      <pageSetup scale="98" firstPageNumber="34" orientation="landscape" r:id="rId8"/>
      <headerFooter>
        <oddFooter>&amp;C&amp;P</oddFooter>
      </headerFooter>
    </customSheetView>
    <customSheetView guid="{2524630E-605A-4616-AD5D-6CF7B1E9752C}" scale="150" showPageBreaks="1" printArea="1" hiddenColumns="1" view="pageLayout" topLeftCell="A64">
      <selection activeCell="AL14" sqref="AL14"/>
      <rowBreaks count="1" manualBreakCount="1">
        <brk id="34" max="39" man="1"/>
      </rowBreaks>
      <pageMargins left="0" right="0" top="0" bottom="0" header="0" footer="0"/>
      <pageSetup scale="98" firstPageNumber="34" orientation="landscape" r:id="rId9"/>
      <headerFooter>
        <oddFooter>&amp;C&amp;P</oddFooter>
      </headerFooter>
    </customSheetView>
  </customSheetViews>
  <mergeCells count="30">
    <mergeCell ref="L4:M4"/>
    <mergeCell ref="B39:G39"/>
    <mergeCell ref="B53:G53"/>
    <mergeCell ref="L13:O13"/>
    <mergeCell ref="AD13:AF13"/>
    <mergeCell ref="B40:G40"/>
    <mergeCell ref="S4:Y4"/>
    <mergeCell ref="S5:Y10"/>
    <mergeCell ref="V13:W13"/>
    <mergeCell ref="X13:Y13"/>
    <mergeCell ref="A5:A13"/>
    <mergeCell ref="H5:K12"/>
    <mergeCell ref="L5:O12"/>
    <mergeCell ref="AD5:AF12"/>
    <mergeCell ref="AG5:AJ12"/>
    <mergeCell ref="S12:T12"/>
    <mergeCell ref="Z13:AC13"/>
    <mergeCell ref="P13:R13"/>
    <mergeCell ref="S13:U13"/>
    <mergeCell ref="P5:R9"/>
    <mergeCell ref="AK5:AN12"/>
    <mergeCell ref="B13:G13"/>
    <mergeCell ref="H13:K13"/>
    <mergeCell ref="Z5:AC12"/>
    <mergeCell ref="B27:G27"/>
    <mergeCell ref="B24:G24"/>
    <mergeCell ref="V12:W12"/>
    <mergeCell ref="X12:Y12"/>
    <mergeCell ref="AK13:AN13"/>
    <mergeCell ref="AG13:AJ13"/>
  </mergeCells>
  <pageMargins left="0.314" right="0.314" top="0.11799999999999999" bottom="0.27500000000000002" header="0.157" footer="0.11799999999999999"/>
  <pageSetup scale="67" firstPageNumber="34" orientation="landscape" r:id="rId10"/>
  <headerFooter>
    <oddFooter>&amp;C&amp;P</oddFooter>
  </headerFooter>
  <rowBreaks count="1" manualBreakCount="1">
    <brk id="34" max="39" man="1"/>
  </rowBreaks>
  <colBreaks count="1" manualBreakCount="1">
    <brk id="40" max="57" man="1"/>
  </colBreaks>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A00-000000000000}">
  <dimension ref="A1:Q83"/>
  <sheetViews>
    <sheetView view="pageBreakPreview" topLeftCell="A31" zoomScale="130" zoomScaleNormal="106" zoomScaleSheetLayoutView="130" workbookViewId="0">
      <selection activeCell="O10" sqref="O10"/>
    </sheetView>
  </sheetViews>
  <sheetFormatPr defaultColWidth="8.85546875" defaultRowHeight="15"/>
  <cols>
    <col min="1" max="1" width="5.85546875" style="841" customWidth="1"/>
    <col min="2" max="3" width="7.42578125" style="1" customWidth="1"/>
    <col min="4" max="4" width="9.140625" style="1" customWidth="1"/>
    <col min="5" max="5" width="8.42578125" style="1" customWidth="1"/>
    <col min="6" max="6" width="6.42578125" style="1" customWidth="1"/>
    <col min="7" max="7" width="10.42578125" style="841" customWidth="1"/>
    <col min="8" max="8" width="23.5703125" style="841" customWidth="1"/>
    <col min="9" max="9" width="11.140625" style="1" customWidth="1"/>
    <col min="10" max="10" width="12.42578125" style="1" customWidth="1"/>
    <col min="11" max="11" width="15.7109375" style="1" customWidth="1"/>
    <col min="12" max="14" width="14.140625" style="1" customWidth="1"/>
    <col min="15" max="15" width="7.42578125" style="769" customWidth="1"/>
    <col min="16" max="16" width="3" style="1" customWidth="1"/>
    <col min="17" max="17" width="10.28515625" style="1" customWidth="1"/>
    <col min="18" max="16384" width="8.85546875" style="769"/>
  </cols>
  <sheetData>
    <row r="1" spans="1:17" ht="15.75">
      <c r="A1" s="1159" t="s">
        <v>2088</v>
      </c>
      <c r="B1" s="818"/>
      <c r="C1" s="818"/>
      <c r="D1" s="818"/>
      <c r="E1" s="818"/>
      <c r="F1" s="818"/>
      <c r="G1" s="839"/>
      <c r="H1" s="839"/>
      <c r="I1" s="1160"/>
      <c r="J1" s="1161"/>
      <c r="K1" s="1161"/>
      <c r="L1" s="1161"/>
      <c r="M1" s="1161"/>
      <c r="N1" s="1161"/>
      <c r="P1" s="818"/>
      <c r="Q1" s="818"/>
    </row>
    <row r="2" spans="1:17" ht="15.75">
      <c r="A2" s="1159" t="s">
        <v>2089</v>
      </c>
      <c r="B2" s="819"/>
      <c r="C2" s="819"/>
      <c r="D2" s="819"/>
      <c r="E2" s="819"/>
      <c r="F2" s="819"/>
      <c r="G2" s="840"/>
      <c r="H2" s="840"/>
      <c r="I2" s="1160"/>
      <c r="J2" s="1161"/>
      <c r="K2" s="1161"/>
      <c r="L2" s="1161"/>
      <c r="M2" s="1161"/>
      <c r="N2" s="1161"/>
      <c r="P2" s="825"/>
      <c r="Q2" s="825"/>
    </row>
    <row r="3" spans="1:17" ht="27">
      <c r="A3" s="1475">
        <v>13.01</v>
      </c>
      <c r="B3" s="2278" t="s">
        <v>2090</v>
      </c>
      <c r="C3" s="2278"/>
      <c r="D3" s="2278"/>
      <c r="E3" s="2278"/>
      <c r="F3" s="2278"/>
      <c r="G3" s="2278"/>
      <c r="H3" s="2278"/>
      <c r="I3" s="2278"/>
      <c r="J3" s="2278"/>
      <c r="K3" s="2278"/>
      <c r="L3" s="2278"/>
      <c r="M3" s="2278"/>
      <c r="N3" s="39" t="str">
        <f>CONCATENATE("1=Sm 
2=Não ►(",TEXT(A5,"0,00"),")")</f>
        <v>1=Sm 
2=Não ►(13,03)</v>
      </c>
      <c r="O3" s="825"/>
      <c r="P3" s="825"/>
      <c r="Q3" s="825"/>
    </row>
    <row r="4" spans="1:17" ht="27">
      <c r="A4" s="1475">
        <f>A3+0.01</f>
        <v>13.02</v>
      </c>
      <c r="B4" s="1476" t="s">
        <v>2091</v>
      </c>
      <c r="C4" s="1164"/>
      <c r="D4" s="1164"/>
      <c r="E4" s="1164"/>
      <c r="F4" s="1164"/>
      <c r="G4" s="1164"/>
      <c r="H4" s="1164"/>
      <c r="I4" s="1164"/>
      <c r="J4" s="1164"/>
      <c r="K4" s="1164"/>
      <c r="L4" s="825"/>
      <c r="M4" s="825"/>
      <c r="N4" s="39" t="str">
        <f>CONCATENATE("1=Sim 
2=Não")</f>
        <v>1=Sim 
2=Não</v>
      </c>
      <c r="O4" s="830"/>
      <c r="P4" s="830"/>
      <c r="Q4" s="830"/>
    </row>
    <row r="5" spans="1:17" ht="27" customHeight="1">
      <c r="A5" s="1475">
        <f t="shared" ref="A5:A10" si="0">A4+0.01</f>
        <v>13.03</v>
      </c>
      <c r="B5" s="2278" t="s">
        <v>2092</v>
      </c>
      <c r="C5" s="2278"/>
      <c r="D5" s="2278"/>
      <c r="E5" s="2278"/>
      <c r="F5" s="2278"/>
      <c r="G5" s="2278"/>
      <c r="H5" s="2278"/>
      <c r="I5" s="2278"/>
      <c r="J5" s="2278"/>
      <c r="K5" s="2278"/>
      <c r="L5" s="2278"/>
      <c r="M5" s="2278"/>
      <c r="N5" s="39" t="str">
        <f>CONCATENATE("1=Sim 
2=Não ►(",TEXT(A7,"0,00"),")")</f>
        <v>1=Sim 
2=Não ►(13,05)</v>
      </c>
      <c r="O5" s="825"/>
      <c r="P5" s="825"/>
      <c r="Q5" s="825"/>
    </row>
    <row r="6" spans="1:17" ht="26.25" customHeight="1">
      <c r="A6" s="1475">
        <f t="shared" si="0"/>
        <v>13.04</v>
      </c>
      <c r="B6" s="1476" t="s">
        <v>2093</v>
      </c>
      <c r="C6" s="1164"/>
      <c r="D6" s="1164"/>
      <c r="E6" s="1164"/>
      <c r="F6" s="1164"/>
      <c r="G6" s="1164"/>
      <c r="H6" s="1164"/>
      <c r="I6" s="1164"/>
      <c r="J6" s="1164"/>
      <c r="K6" s="1164"/>
      <c r="L6" s="825"/>
      <c r="M6" s="825"/>
      <c r="N6" s="39" t="str">
        <f>CONCATENATE("1=Sim 
2=Não")</f>
        <v>1=Sim 
2=Não</v>
      </c>
      <c r="O6" s="830"/>
      <c r="P6" s="830"/>
      <c r="Q6" s="830"/>
    </row>
    <row r="7" spans="1:17" ht="27">
      <c r="A7" s="1475">
        <f t="shared" si="0"/>
        <v>13.049999999999999</v>
      </c>
      <c r="B7" s="2278" t="s">
        <v>2094</v>
      </c>
      <c r="C7" s="2278"/>
      <c r="D7" s="2278"/>
      <c r="E7" s="2278"/>
      <c r="F7" s="2278"/>
      <c r="G7" s="2278"/>
      <c r="H7" s="2278"/>
      <c r="I7" s="2278"/>
      <c r="J7" s="2278"/>
      <c r="K7" s="2278"/>
      <c r="L7" s="2278"/>
      <c r="M7" s="2278"/>
      <c r="N7" s="39" t="str">
        <f>CONCATENATE("1=Sim
2=Não")</f>
        <v>1=Sim
2=Não</v>
      </c>
      <c r="O7" s="825"/>
      <c r="P7" s="825"/>
      <c r="Q7" s="825"/>
    </row>
    <row r="8" spans="1:17" ht="27.95" customHeight="1">
      <c r="A8" s="1475">
        <f t="shared" si="0"/>
        <v>13.059999999999999</v>
      </c>
      <c r="B8" s="2278" t="s">
        <v>2095</v>
      </c>
      <c r="C8" s="2278"/>
      <c r="D8" s="2278"/>
      <c r="E8" s="2278"/>
      <c r="F8" s="2278"/>
      <c r="G8" s="2278"/>
      <c r="H8" s="2278"/>
      <c r="I8" s="2278"/>
      <c r="J8" s="2278"/>
      <c r="K8" s="2278"/>
      <c r="L8" s="2278"/>
      <c r="M8" s="2278"/>
      <c r="N8" s="39" t="str">
        <f>CONCATENATE("1=Sim 
2=Não")</f>
        <v>1=Sim 
2=Não</v>
      </c>
      <c r="O8" s="830"/>
      <c r="P8" s="830"/>
      <c r="Q8" s="830"/>
    </row>
    <row r="9" spans="1:17" ht="27">
      <c r="A9" s="1475">
        <f t="shared" si="0"/>
        <v>13.069999999999999</v>
      </c>
      <c r="B9" s="1476" t="s">
        <v>2096</v>
      </c>
      <c r="C9" s="1164"/>
      <c r="D9" s="1164"/>
      <c r="E9" s="1164"/>
      <c r="F9" s="1164"/>
      <c r="G9" s="1164"/>
      <c r="H9" s="1164"/>
      <c r="I9" s="1164"/>
      <c r="J9" s="1164"/>
      <c r="K9" s="1164"/>
      <c r="L9" s="825"/>
      <c r="M9" s="825"/>
      <c r="N9" s="39" t="str">
        <f>CONCATENATE("1=Sim 
2=Não")</f>
        <v>1=Sim 
2=Não</v>
      </c>
      <c r="O9" s="825"/>
      <c r="P9" s="825"/>
      <c r="Q9" s="825"/>
    </row>
    <row r="10" spans="1:17" ht="27">
      <c r="A10" s="1475">
        <f t="shared" si="0"/>
        <v>13.079999999999998</v>
      </c>
      <c r="B10" s="2278" t="s">
        <v>2097</v>
      </c>
      <c r="C10" s="2278"/>
      <c r="D10" s="2278"/>
      <c r="E10" s="2278"/>
      <c r="F10" s="2278"/>
      <c r="G10" s="2278"/>
      <c r="H10" s="2278"/>
      <c r="I10" s="2278"/>
      <c r="J10" s="2278"/>
      <c r="K10" s="2278"/>
      <c r="L10" s="2278"/>
      <c r="M10" s="2278"/>
      <c r="N10" s="39" t="str">
        <f>CONCATENATE("1=Sim
2=Não")</f>
        <v>1=Sim
2=Não</v>
      </c>
      <c r="O10" s="830"/>
      <c r="P10" s="830"/>
      <c r="Q10" s="830"/>
    </row>
    <row r="11" spans="1:17" ht="13.5" customHeight="1">
      <c r="A11" s="1162"/>
      <c r="B11" s="1163"/>
      <c r="C11" s="1163"/>
      <c r="D11" s="1163"/>
      <c r="E11" s="1163"/>
      <c r="F11" s="1163"/>
      <c r="I11" s="2278" t="str">
        <f>CONCATENATE("1 Sim
2 Não ►",[2]S14A_Chocs1!A1, )</f>
        <v>1 Sim
2 Não ►SEÇÃO 14A: COVID-19 E IMPACTO NOS AGREGADOS FAMÍLIAS</v>
      </c>
      <c r="J11" s="2278"/>
      <c r="K11" s="2278"/>
      <c r="L11" s="2278"/>
      <c r="M11" s="1163"/>
      <c r="N11" s="39"/>
      <c r="O11" s="825"/>
      <c r="P11" s="825"/>
      <c r="Q11" s="825"/>
    </row>
    <row r="12" spans="1:17" ht="12.75" customHeight="1">
      <c r="A12" s="1162">
        <f>A10+0.01</f>
        <v>13.089999999999998</v>
      </c>
      <c r="B12" s="1476" t="str">
        <f>CONCATENATE("A resposta para qualquer uma das perguntas  (",A4,"), (",A6,"), (",A7,"), (",A8,"), (",A9,"), (",A10,") é positiva ?")</f>
        <v>A resposta para qualquer uma das perguntas  (13,02), (13,04), (13,05), (13,06), (13,07), (13,08) é positiva ?</v>
      </c>
      <c r="C12" s="1163"/>
      <c r="D12" s="1163"/>
      <c r="E12" s="1163"/>
      <c r="F12" s="1163"/>
      <c r="G12" s="1163"/>
      <c r="H12" s="1164"/>
      <c r="I12" s="2278"/>
      <c r="J12" s="2278"/>
      <c r="K12" s="2278"/>
      <c r="L12" s="2278"/>
      <c r="M12" s="1163"/>
      <c r="N12" s="39"/>
      <c r="O12" s="830"/>
      <c r="P12" s="830"/>
      <c r="Q12" s="830"/>
    </row>
    <row r="13" spans="1:17" ht="12.75" customHeight="1">
      <c r="B13" s="925"/>
      <c r="C13" s="925"/>
      <c r="D13" s="925"/>
      <c r="E13" s="925"/>
      <c r="F13" s="925"/>
      <c r="G13" s="1163"/>
      <c r="H13" s="1164"/>
      <c r="I13" s="2281"/>
      <c r="J13" s="2278"/>
      <c r="K13" s="2278"/>
      <c r="L13" s="2278"/>
      <c r="P13" s="1459"/>
    </row>
    <row r="14" spans="1:17" ht="12.75" customHeight="1">
      <c r="A14" s="2776" t="s">
        <v>2098</v>
      </c>
      <c r="B14" s="1099">
        <f>A12+0.01</f>
        <v>13.099999999999998</v>
      </c>
      <c r="C14" s="1099">
        <f>B14+0.01</f>
        <v>13.109999999999998</v>
      </c>
      <c r="D14" s="1099">
        <f t="shared" ref="D14:M14" si="1">C14+0.01</f>
        <v>13.119999999999997</v>
      </c>
      <c r="E14" s="1099">
        <f t="shared" si="1"/>
        <v>13.129999999999997</v>
      </c>
      <c r="F14" s="855">
        <f t="shared" si="1"/>
        <v>13.139999999999997</v>
      </c>
      <c r="G14" s="1069">
        <f t="shared" si="1"/>
        <v>13.149999999999997</v>
      </c>
      <c r="H14" s="1070">
        <f t="shared" si="1"/>
        <v>13.159999999999997</v>
      </c>
      <c r="I14" s="855">
        <f t="shared" si="1"/>
        <v>13.169999999999996</v>
      </c>
      <c r="J14" s="852">
        <f t="shared" si="1"/>
        <v>13.179999999999996</v>
      </c>
      <c r="K14" s="1069">
        <f t="shared" si="1"/>
        <v>13.189999999999996</v>
      </c>
      <c r="L14" s="1420">
        <f t="shared" si="1"/>
        <v>13.199999999999996</v>
      </c>
      <c r="M14" s="1069">
        <f t="shared" si="1"/>
        <v>13.209999999999996</v>
      </c>
      <c r="N14" s="2779">
        <f>M14+0.01</f>
        <v>13.219999999999995</v>
      </c>
      <c r="O14" s="2780"/>
      <c r="P14" s="2791" t="s">
        <v>187</v>
      </c>
      <c r="Q14" s="1099">
        <f>N14+0.01</f>
        <v>13.229999999999995</v>
      </c>
    </row>
    <row r="15" spans="1:17" ht="12.75" customHeight="1">
      <c r="A15" s="2777"/>
      <c r="B15" s="2199" t="s">
        <v>2099</v>
      </c>
      <c r="C15" s="2199" t="s">
        <v>2100</v>
      </c>
      <c r="D15" s="2199" t="s">
        <v>2101</v>
      </c>
      <c r="E15" s="2199" t="s">
        <v>2102</v>
      </c>
      <c r="F15" s="2236" t="s">
        <v>2103</v>
      </c>
      <c r="G15" s="2485" t="s">
        <v>2104</v>
      </c>
      <c r="H15" s="2781" t="s">
        <v>2105</v>
      </c>
      <c r="I15" s="2782" t="s">
        <v>2106</v>
      </c>
      <c r="J15" s="2788" t="s">
        <v>2107</v>
      </c>
      <c r="K15" s="2485" t="s">
        <v>2108</v>
      </c>
      <c r="L15" s="2782" t="s">
        <v>2109</v>
      </c>
      <c r="M15" s="2485" t="s">
        <v>2110</v>
      </c>
      <c r="N15" s="2782" t="s">
        <v>2111</v>
      </c>
      <c r="O15" s="2781"/>
      <c r="P15" s="2791"/>
      <c r="Q15" s="2789" t="s">
        <v>2112</v>
      </c>
    </row>
    <row r="16" spans="1:17" ht="13.5" customHeight="1">
      <c r="A16" s="2777"/>
      <c r="B16" s="2199"/>
      <c r="C16" s="2199"/>
      <c r="D16" s="2199"/>
      <c r="E16" s="2199"/>
      <c r="F16" s="2236"/>
      <c r="G16" s="2485"/>
      <c r="H16" s="2781"/>
      <c r="I16" s="2782"/>
      <c r="J16" s="2788"/>
      <c r="K16" s="2485"/>
      <c r="L16" s="2782"/>
      <c r="M16" s="2485"/>
      <c r="N16" s="2782"/>
      <c r="O16" s="2781"/>
      <c r="P16" s="2791"/>
      <c r="Q16" s="2789"/>
    </row>
    <row r="17" spans="1:17" ht="13.5" customHeight="1">
      <c r="A17" s="2777"/>
      <c r="B17" s="2199"/>
      <c r="C17" s="2199"/>
      <c r="D17" s="2199"/>
      <c r="E17" s="2199"/>
      <c r="F17" s="2236"/>
      <c r="G17" s="2485"/>
      <c r="H17" s="2781"/>
      <c r="I17" s="2782"/>
      <c r="J17" s="2788"/>
      <c r="K17" s="2485"/>
      <c r="L17" s="2782"/>
      <c r="M17" s="2485"/>
      <c r="N17" s="2782"/>
      <c r="O17" s="2781"/>
      <c r="P17" s="2791"/>
      <c r="Q17" s="2789"/>
    </row>
    <row r="18" spans="1:17" ht="15" customHeight="1">
      <c r="A18" s="2777"/>
      <c r="B18" s="2199"/>
      <c r="C18" s="2199"/>
      <c r="D18" s="2199"/>
      <c r="E18" s="2199"/>
      <c r="F18" s="2236"/>
      <c r="G18" s="2485"/>
      <c r="H18" s="2781"/>
      <c r="I18" s="2782"/>
      <c r="J18" s="2788"/>
      <c r="K18" s="2486" t="s">
        <v>2113</v>
      </c>
      <c r="L18" s="2782"/>
      <c r="M18" s="2485"/>
      <c r="N18" s="2782"/>
      <c r="O18" s="2781"/>
      <c r="P18" s="2791"/>
      <c r="Q18" s="2789"/>
    </row>
    <row r="19" spans="1:17" ht="27">
      <c r="A19" s="2777"/>
      <c r="B19" s="2199"/>
      <c r="C19" s="2199"/>
      <c r="D19" s="2199"/>
      <c r="E19" s="2199"/>
      <c r="F19" s="2236"/>
      <c r="G19" s="2485"/>
      <c r="H19" s="2781"/>
      <c r="I19" s="2782"/>
      <c r="J19" s="2788"/>
      <c r="K19" s="2486"/>
      <c r="L19" s="1164" t="s">
        <v>2114</v>
      </c>
      <c r="M19" s="2485"/>
      <c r="N19" s="2782"/>
      <c r="O19" s="2781"/>
      <c r="P19" s="2791"/>
      <c r="Q19" s="2789"/>
    </row>
    <row r="20" spans="1:17" ht="15.75" customHeight="1">
      <c r="A20" s="2777"/>
      <c r="B20" s="2199"/>
      <c r="C20" s="2199"/>
      <c r="D20" s="2199"/>
      <c r="E20" s="2199"/>
      <c r="F20" s="1025"/>
      <c r="G20" s="1165"/>
      <c r="H20" s="1422" t="s">
        <v>2115</v>
      </c>
      <c r="I20" s="1166"/>
      <c r="J20" s="2788"/>
      <c r="K20" s="2486"/>
      <c r="L20" s="1163" t="s">
        <v>2116</v>
      </c>
      <c r="M20" s="1091"/>
      <c r="N20" s="2782"/>
      <c r="O20" s="2781"/>
      <c r="P20" s="2791"/>
      <c r="Q20" s="2789"/>
    </row>
    <row r="21" spans="1:17" ht="24.75" customHeight="1">
      <c r="A21" s="2777"/>
      <c r="B21" s="2199"/>
      <c r="C21" s="2199"/>
      <c r="D21" s="2199"/>
      <c r="E21" s="2199"/>
      <c r="F21" s="2787" t="s">
        <v>2117</v>
      </c>
      <c r="G21" s="1167" t="s">
        <v>251</v>
      </c>
      <c r="H21" s="1422" t="s">
        <v>2118</v>
      </c>
      <c r="I21" s="1168"/>
      <c r="J21" s="2788"/>
      <c r="K21" s="2486"/>
      <c r="L21" s="1164" t="s">
        <v>2119</v>
      </c>
      <c r="M21" s="2486" t="s">
        <v>2120</v>
      </c>
      <c r="N21" s="2782"/>
      <c r="O21" s="2781"/>
      <c r="P21" s="2791"/>
      <c r="Q21" s="2789"/>
    </row>
    <row r="22" spans="1:17" ht="36.75" customHeight="1">
      <c r="A22" s="2777"/>
      <c r="B22" s="2199"/>
      <c r="C22" s="2199"/>
      <c r="D22" s="2199"/>
      <c r="E22" s="2199"/>
      <c r="F22" s="2787"/>
      <c r="G22" s="1167" t="s">
        <v>2121</v>
      </c>
      <c r="H22" s="1422" t="s">
        <v>2122</v>
      </c>
      <c r="I22" s="1168"/>
      <c r="J22" s="2788"/>
      <c r="K22" s="2486"/>
      <c r="L22" s="2278" t="s">
        <v>2123</v>
      </c>
      <c r="M22" s="2486"/>
      <c r="O22" s="1477"/>
      <c r="P22" s="2791"/>
      <c r="Q22" s="2789"/>
    </row>
    <row r="23" spans="1:17" ht="33.75" customHeight="1">
      <c r="A23" s="2777"/>
      <c r="B23" s="2199"/>
      <c r="C23" s="2199"/>
      <c r="D23" s="1123" t="s">
        <v>2124</v>
      </c>
      <c r="E23" s="1168"/>
      <c r="F23" s="2787"/>
      <c r="G23" s="1167" t="s">
        <v>2125</v>
      </c>
      <c r="H23" s="1422" t="s">
        <v>2126</v>
      </c>
      <c r="I23" s="1168"/>
      <c r="J23" s="2788"/>
      <c r="K23" s="2486"/>
      <c r="L23" s="2278"/>
      <c r="M23" s="2486"/>
      <c r="N23" s="2783" t="s">
        <v>929</v>
      </c>
      <c r="O23" s="2784"/>
      <c r="P23" s="2791"/>
      <c r="Q23" s="2789"/>
    </row>
    <row r="24" spans="1:17" ht="33.75" customHeight="1">
      <c r="A24" s="2777"/>
      <c r="B24" s="2199"/>
      <c r="C24" s="2199"/>
      <c r="D24" s="1169" t="s">
        <v>2127</v>
      </c>
      <c r="E24" s="83" t="s">
        <v>2128</v>
      </c>
      <c r="F24" s="2787"/>
      <c r="G24" s="1170" t="s">
        <v>2129</v>
      </c>
      <c r="H24" s="1422" t="s">
        <v>2130</v>
      </c>
      <c r="I24" s="41" t="s">
        <v>880</v>
      </c>
      <c r="J24" s="2788"/>
      <c r="K24" s="2486"/>
      <c r="L24" s="2278" t="s">
        <v>2131</v>
      </c>
      <c r="M24" s="2486"/>
      <c r="N24" s="953" t="s">
        <v>2132</v>
      </c>
      <c r="O24" s="1477"/>
      <c r="P24" s="2791"/>
      <c r="Q24" s="2789"/>
    </row>
    <row r="25" spans="1:17" ht="27" customHeight="1">
      <c r="A25" s="2777"/>
      <c r="B25" s="2199"/>
      <c r="C25" s="2199"/>
      <c r="D25" s="1169" t="s">
        <v>2133</v>
      </c>
      <c r="E25" s="83" t="s">
        <v>2134</v>
      </c>
      <c r="F25" s="688"/>
      <c r="G25" s="1170" t="s">
        <v>2135</v>
      </c>
      <c r="H25" s="2795" t="s">
        <v>2136</v>
      </c>
      <c r="I25" s="41" t="str">
        <f>CONCATENATE("2 Não ►(",TEXT(K14,"0,00"),")")</f>
        <v>2 Não ►(13,19)</v>
      </c>
      <c r="J25" s="1052"/>
      <c r="K25" s="2486"/>
      <c r="L25" s="2278"/>
      <c r="M25" s="2486"/>
      <c r="N25" s="39" t="s">
        <v>2137</v>
      </c>
      <c r="O25" s="1477"/>
      <c r="P25" s="2791"/>
      <c r="Q25" s="2789"/>
    </row>
    <row r="26" spans="1:17" ht="15.75" customHeight="1">
      <c r="A26" s="2777"/>
      <c r="B26" s="767"/>
      <c r="C26" s="767"/>
      <c r="D26" s="1169" t="s">
        <v>2138</v>
      </c>
      <c r="E26" s="1168"/>
      <c r="F26" s="1025"/>
      <c r="G26" s="1170" t="s">
        <v>2139</v>
      </c>
      <c r="H26" s="2795"/>
      <c r="I26" s="2785"/>
      <c r="J26" s="1092"/>
      <c r="K26" s="2486"/>
      <c r="L26" s="2278"/>
      <c r="M26" s="2486"/>
      <c r="N26" s="1164" t="s">
        <v>2140</v>
      </c>
      <c r="O26" s="1477"/>
      <c r="P26" s="2791"/>
      <c r="Q26" s="2789"/>
    </row>
    <row r="27" spans="1:17" ht="15.75" customHeight="1">
      <c r="A27" s="2777"/>
      <c r="B27" s="767"/>
      <c r="C27" s="767"/>
      <c r="D27" s="1189" t="s">
        <v>2141</v>
      </c>
      <c r="E27" s="1168"/>
      <c r="F27" s="1025"/>
      <c r="G27" s="1170" t="s">
        <v>2142</v>
      </c>
      <c r="H27" s="2795" t="s">
        <v>2143</v>
      </c>
      <c r="I27" s="2785"/>
      <c r="J27" s="1092"/>
      <c r="K27" s="2486"/>
      <c r="L27" s="1164" t="s">
        <v>2144</v>
      </c>
      <c r="M27" s="2486"/>
      <c r="N27" s="1171" t="s">
        <v>2145</v>
      </c>
      <c r="O27" s="1477"/>
      <c r="P27" s="2791"/>
      <c r="Q27" s="2789"/>
    </row>
    <row r="28" spans="1:17" ht="21.75" customHeight="1">
      <c r="A28" s="2777"/>
      <c r="B28" s="1123"/>
      <c r="C28" s="1123"/>
      <c r="D28" s="2786" t="s">
        <v>2146</v>
      </c>
      <c r="E28" s="1168"/>
      <c r="F28" s="1025"/>
      <c r="G28" s="1167"/>
      <c r="H28" s="2795"/>
      <c r="I28" s="1168"/>
      <c r="J28" s="1092"/>
      <c r="K28" s="2486"/>
      <c r="L28" s="811" t="s">
        <v>2147</v>
      </c>
      <c r="M28" s="2486"/>
      <c r="N28" s="953" t="s">
        <v>2148</v>
      </c>
      <c r="O28" s="1477"/>
      <c r="P28" s="2791"/>
      <c r="Q28" s="2789"/>
    </row>
    <row r="29" spans="1:17" ht="27" customHeight="1">
      <c r="A29" s="2777"/>
      <c r="B29" s="1123"/>
      <c r="C29" s="1123"/>
      <c r="D29" s="2786"/>
      <c r="E29" s="1172"/>
      <c r="F29" s="688"/>
      <c r="G29" s="1124"/>
      <c r="H29" s="2795" t="s">
        <v>2149</v>
      </c>
      <c r="I29" s="41"/>
      <c r="J29" s="1052"/>
      <c r="K29" s="2486"/>
      <c r="L29" s="1164" t="s">
        <v>2150</v>
      </c>
      <c r="M29" s="2486"/>
      <c r="N29" s="41"/>
      <c r="O29" s="1173"/>
      <c r="P29" s="2791"/>
      <c r="Q29" s="2789"/>
    </row>
    <row r="30" spans="1:17" ht="28.5" customHeight="1">
      <c r="A30" s="2777"/>
      <c r="B30" s="1123"/>
      <c r="C30" s="1123"/>
      <c r="D30" s="1123"/>
      <c r="E30" s="908"/>
      <c r="F30" s="688"/>
      <c r="G30" s="1124"/>
      <c r="H30" s="2795"/>
      <c r="I30" s="1168"/>
      <c r="J30" s="1174"/>
      <c r="K30" s="2486"/>
      <c r="L30" s="1164" t="s">
        <v>2151</v>
      </c>
      <c r="M30" s="2486"/>
      <c r="N30" s="1175"/>
      <c r="O30" s="1173"/>
      <c r="P30" s="2791"/>
      <c r="Q30" s="2789"/>
    </row>
    <row r="31" spans="1:17" ht="27" customHeight="1">
      <c r="A31" s="2777"/>
      <c r="B31" s="767"/>
      <c r="C31" s="767"/>
      <c r="D31" s="1176"/>
      <c r="E31" s="767"/>
      <c r="F31" s="688"/>
      <c r="G31" s="1095"/>
      <c r="H31" s="1422" t="s">
        <v>2152</v>
      </c>
      <c r="I31" s="813"/>
      <c r="J31" s="1177"/>
      <c r="K31" s="2486"/>
      <c r="L31" s="1163" t="s">
        <v>2153</v>
      </c>
      <c r="M31" s="1091"/>
      <c r="N31" s="1175"/>
      <c r="O31" s="1173"/>
      <c r="P31" s="2791"/>
      <c r="Q31" s="2789"/>
    </row>
    <row r="32" spans="1:17" ht="22.5" customHeight="1">
      <c r="A32" s="2777"/>
      <c r="B32" s="83"/>
      <c r="C32" s="83"/>
      <c r="D32" s="1176"/>
      <c r="E32" s="767"/>
      <c r="F32" s="688"/>
      <c r="G32" s="1095"/>
      <c r="H32" s="1422" t="s">
        <v>2154</v>
      </c>
      <c r="I32" s="813"/>
      <c r="J32" s="1177"/>
      <c r="K32" s="2486"/>
      <c r="L32" s="1163"/>
      <c r="M32" s="1091"/>
      <c r="N32" s="1178"/>
      <c r="O32" s="1179"/>
      <c r="P32" s="2791"/>
      <c r="Q32" s="2789"/>
    </row>
    <row r="33" spans="1:17" ht="21" customHeight="1">
      <c r="A33" s="2777"/>
      <c r="B33" s="83"/>
      <c r="C33" s="83"/>
      <c r="D33" s="1176"/>
      <c r="E33" s="767"/>
      <c r="F33" s="688"/>
      <c r="G33" s="1095"/>
      <c r="H33" s="1422" t="s">
        <v>2155</v>
      </c>
      <c r="I33" s="813"/>
      <c r="J33" s="1177"/>
      <c r="K33" s="2486"/>
      <c r="L33" s="1163"/>
      <c r="M33" s="1091"/>
      <c r="N33" s="2793" t="s">
        <v>1054</v>
      </c>
      <c r="O33" s="2794" t="s">
        <v>930</v>
      </c>
      <c r="P33" s="2791"/>
      <c r="Q33" s="2789"/>
    </row>
    <row r="34" spans="1:17" ht="21" customHeight="1">
      <c r="A34" s="2777"/>
      <c r="B34" s="83"/>
      <c r="C34" s="83"/>
      <c r="D34" s="1176"/>
      <c r="E34" s="767"/>
      <c r="F34" s="688"/>
      <c r="G34" s="1180"/>
      <c r="H34" s="1423" t="s">
        <v>2156</v>
      </c>
      <c r="I34" s="813"/>
      <c r="J34" s="1181"/>
      <c r="K34" s="2792"/>
      <c r="L34" s="1182"/>
      <c r="M34" s="1478"/>
      <c r="N34" s="2793"/>
      <c r="O34" s="2794"/>
      <c r="P34" s="2791"/>
      <c r="Q34" s="2790"/>
    </row>
    <row r="35" spans="1:17" ht="21" customHeight="1" thickBot="1">
      <c r="A35" s="2778"/>
      <c r="B35" s="439" t="s">
        <v>187</v>
      </c>
      <c r="C35" s="439" t="s">
        <v>187</v>
      </c>
      <c r="D35" s="504" t="s">
        <v>420</v>
      </c>
      <c r="E35" s="504" t="s">
        <v>420</v>
      </c>
      <c r="F35" s="1183" t="s">
        <v>422</v>
      </c>
      <c r="G35" s="504" t="s">
        <v>420</v>
      </c>
      <c r="H35" s="504" t="s">
        <v>420</v>
      </c>
      <c r="I35" s="504" t="s">
        <v>420</v>
      </c>
      <c r="J35" s="1136" t="s">
        <v>424</v>
      </c>
      <c r="K35" s="504" t="s">
        <v>420</v>
      </c>
      <c r="L35" s="504" t="s">
        <v>420</v>
      </c>
      <c r="M35" s="504" t="s">
        <v>420</v>
      </c>
      <c r="N35" s="1136" t="s">
        <v>2157</v>
      </c>
      <c r="O35" s="504" t="s">
        <v>420</v>
      </c>
      <c r="P35" s="2791"/>
      <c r="Q35" s="228" t="s">
        <v>420</v>
      </c>
    </row>
    <row r="36" spans="1:17" ht="21" customHeight="1" thickTop="1">
      <c r="A36" s="1184" t="s">
        <v>775</v>
      </c>
      <c r="B36" s="826"/>
      <c r="C36" s="826"/>
      <c r="D36" s="826"/>
      <c r="E36" s="826"/>
      <c r="F36" s="826"/>
      <c r="G36" s="826"/>
      <c r="H36" s="826"/>
      <c r="I36" s="826"/>
      <c r="J36" s="1185"/>
      <c r="K36" s="1185"/>
      <c r="L36" s="1185"/>
      <c r="M36" s="1185"/>
      <c r="N36" s="1185"/>
      <c r="O36" s="1479"/>
      <c r="P36" s="524" t="s">
        <v>775</v>
      </c>
      <c r="Q36" s="831"/>
    </row>
    <row r="37" spans="1:17" ht="21" customHeight="1">
      <c r="A37" s="1186" t="s">
        <v>776</v>
      </c>
      <c r="B37" s="827"/>
      <c r="C37" s="827"/>
      <c r="D37" s="827"/>
      <c r="E37" s="827"/>
      <c r="F37" s="827"/>
      <c r="G37" s="827"/>
      <c r="H37" s="827"/>
      <c r="I37" s="827"/>
      <c r="J37" s="1187"/>
      <c r="K37" s="1187"/>
      <c r="L37" s="1187"/>
      <c r="M37" s="1187"/>
      <c r="N37" s="1187"/>
      <c r="O37" s="770"/>
      <c r="P37" s="508" t="s">
        <v>776</v>
      </c>
      <c r="Q37" s="834"/>
    </row>
    <row r="38" spans="1:17" ht="21" customHeight="1">
      <c r="A38" s="1186">
        <v>3</v>
      </c>
      <c r="B38" s="827"/>
      <c r="C38" s="827"/>
      <c r="D38" s="827"/>
      <c r="E38" s="827"/>
      <c r="F38" s="827"/>
      <c r="G38" s="827"/>
      <c r="H38" s="827"/>
      <c r="I38" s="827"/>
      <c r="J38" s="1187"/>
      <c r="K38" s="1187"/>
      <c r="L38" s="1187"/>
      <c r="M38" s="1187"/>
      <c r="N38" s="1187"/>
      <c r="O38" s="770"/>
      <c r="P38" s="514">
        <v>3</v>
      </c>
      <c r="Q38" s="834"/>
    </row>
    <row r="39" spans="1:17" ht="21" customHeight="1">
      <c r="A39" s="1188">
        <v>4</v>
      </c>
      <c r="B39" s="828"/>
      <c r="C39" s="828"/>
      <c r="D39" s="828"/>
      <c r="E39" s="828"/>
      <c r="F39" s="828"/>
      <c r="G39" s="828"/>
      <c r="H39" s="828"/>
      <c r="I39" s="828"/>
      <c r="J39" s="823"/>
      <c r="K39" s="823"/>
      <c r="L39" s="823"/>
      <c r="M39" s="823"/>
      <c r="N39" s="823"/>
      <c r="O39" s="770"/>
      <c r="P39" s="514">
        <v>4</v>
      </c>
      <c r="Q39" s="834"/>
    </row>
    <row r="40" spans="1:17" ht="21" customHeight="1">
      <c r="A40" s="1188">
        <v>5</v>
      </c>
      <c r="B40" s="826"/>
      <c r="C40" s="826"/>
      <c r="D40" s="826"/>
      <c r="E40" s="826"/>
      <c r="F40" s="826"/>
      <c r="G40" s="826"/>
      <c r="H40" s="826"/>
      <c r="I40" s="826"/>
      <c r="J40" s="1185"/>
      <c r="K40" s="1185"/>
      <c r="L40" s="1185"/>
      <c r="M40" s="1185"/>
      <c r="N40" s="1185"/>
      <c r="O40" s="770"/>
      <c r="P40" s="514">
        <v>5</v>
      </c>
      <c r="Q40" s="834"/>
    </row>
    <row r="41" spans="1:17" ht="21" customHeight="1">
      <c r="A41" s="1188">
        <v>6</v>
      </c>
      <c r="B41" s="827"/>
      <c r="C41" s="827"/>
      <c r="D41" s="827"/>
      <c r="E41" s="827"/>
      <c r="F41" s="827"/>
      <c r="G41" s="827"/>
      <c r="H41" s="827"/>
      <c r="I41" s="827"/>
      <c r="J41" s="1187"/>
      <c r="K41" s="1187"/>
      <c r="L41" s="1187"/>
      <c r="M41" s="1187"/>
      <c r="N41" s="1187"/>
      <c r="O41" s="770"/>
      <c r="P41" s="520">
        <v>6</v>
      </c>
      <c r="Q41" s="834"/>
    </row>
    <row r="42" spans="1:17" ht="21" customHeight="1">
      <c r="A42" s="1188">
        <v>7</v>
      </c>
      <c r="B42" s="827"/>
      <c r="C42" s="827"/>
      <c r="D42" s="827"/>
      <c r="E42" s="827"/>
      <c r="F42" s="827"/>
      <c r="G42" s="827"/>
      <c r="H42" s="827"/>
      <c r="I42" s="827"/>
      <c r="J42" s="1187"/>
      <c r="K42" s="1187"/>
      <c r="L42" s="1187"/>
      <c r="M42" s="1187"/>
      <c r="N42" s="1187"/>
      <c r="O42" s="770"/>
      <c r="P42" s="520">
        <v>7</v>
      </c>
      <c r="Q42" s="834"/>
    </row>
    <row r="43" spans="1:17" ht="15.75">
      <c r="A43" s="1186">
        <v>8</v>
      </c>
      <c r="B43" s="827"/>
      <c r="C43" s="827"/>
      <c r="D43" s="827"/>
      <c r="E43" s="827"/>
      <c r="F43" s="827"/>
      <c r="G43" s="827"/>
      <c r="H43" s="827"/>
      <c r="I43" s="827"/>
      <c r="J43" s="1187"/>
      <c r="K43" s="1187"/>
      <c r="L43" s="1187"/>
      <c r="M43" s="1187"/>
      <c r="N43" s="1187"/>
      <c r="O43" s="770"/>
      <c r="P43" s="520">
        <v>8</v>
      </c>
      <c r="Q43" s="834"/>
    </row>
    <row r="44" spans="1:17" ht="15.75">
      <c r="A44" s="1188">
        <v>9</v>
      </c>
      <c r="B44" s="828"/>
      <c r="C44" s="828"/>
      <c r="D44" s="828"/>
      <c r="E44" s="828"/>
      <c r="F44" s="828"/>
      <c r="G44" s="828"/>
      <c r="H44" s="828"/>
      <c r="I44" s="828"/>
      <c r="J44" s="823"/>
      <c r="K44" s="823"/>
      <c r="L44" s="823"/>
      <c r="M44" s="823"/>
      <c r="N44" s="823"/>
      <c r="O44" s="770"/>
      <c r="P44" s="520">
        <v>9</v>
      </c>
      <c r="Q44" s="834"/>
    </row>
    <row r="45" spans="1:17" ht="15.75">
      <c r="A45" s="1188">
        <v>10</v>
      </c>
      <c r="B45" s="828"/>
      <c r="C45" s="828"/>
      <c r="D45" s="828"/>
      <c r="E45" s="828"/>
      <c r="F45" s="828"/>
      <c r="G45" s="828"/>
      <c r="H45" s="828"/>
      <c r="I45" s="828"/>
      <c r="J45" s="823"/>
      <c r="K45" s="823"/>
      <c r="L45" s="823"/>
      <c r="M45" s="823"/>
      <c r="N45" s="823"/>
      <c r="O45" s="770"/>
      <c r="P45" s="520">
        <v>10</v>
      </c>
      <c r="Q45" s="834"/>
    </row>
    <row r="46" spans="1:17" ht="15.75">
      <c r="P46" s="837"/>
      <c r="Q46" s="837"/>
    </row>
    <row r="47" spans="1:17" ht="15.75">
      <c r="P47" s="837"/>
      <c r="Q47" s="837"/>
    </row>
    <row r="48" spans="1:17" ht="15.75">
      <c r="P48" s="837"/>
      <c r="Q48" s="837"/>
    </row>
    <row r="49" spans="16:17" ht="15.75">
      <c r="P49" s="837"/>
      <c r="Q49" s="837"/>
    </row>
    <row r="50" spans="16:17" ht="15.75">
      <c r="P50" s="837"/>
      <c r="Q50" s="837"/>
    </row>
    <row r="51" spans="16:17" ht="15.75">
      <c r="P51" s="837"/>
      <c r="Q51" s="837"/>
    </row>
    <row r="52" spans="16:17" ht="15.75">
      <c r="P52" s="837"/>
      <c r="Q52" s="837"/>
    </row>
    <row r="53" spans="16:17" ht="15.75">
      <c r="P53" s="837"/>
      <c r="Q53" s="837"/>
    </row>
    <row r="54" spans="16:17" ht="15.75">
      <c r="P54" s="837"/>
      <c r="Q54" s="837"/>
    </row>
    <row r="55" spans="16:17" ht="15.75">
      <c r="P55" s="837"/>
      <c r="Q55" s="837"/>
    </row>
    <row r="56" spans="16:17" ht="15.75">
      <c r="P56" s="837"/>
      <c r="Q56" s="837"/>
    </row>
    <row r="57" spans="16:17" ht="15.75">
      <c r="P57" s="837"/>
      <c r="Q57" s="837"/>
    </row>
    <row r="58" spans="16:17" ht="15.75">
      <c r="P58" s="837"/>
      <c r="Q58" s="837"/>
    </row>
    <row r="59" spans="16:17" ht="15.75">
      <c r="P59" s="837"/>
      <c r="Q59" s="837"/>
    </row>
    <row r="60" spans="16:17" ht="15.75">
      <c r="P60" s="837"/>
      <c r="Q60" s="837"/>
    </row>
    <row r="61" spans="16:17" ht="15.75">
      <c r="P61" s="837"/>
      <c r="Q61" s="837"/>
    </row>
    <row r="62" spans="16:17" ht="15.75">
      <c r="P62" s="837"/>
      <c r="Q62" s="837"/>
    </row>
    <row r="63" spans="16:17" ht="15.75">
      <c r="P63" s="837"/>
      <c r="Q63" s="837"/>
    </row>
    <row r="64" spans="16:17" ht="15.75">
      <c r="P64" s="837"/>
      <c r="Q64" s="837"/>
    </row>
    <row r="65" spans="16:17" ht="15.75">
      <c r="P65" s="837"/>
      <c r="Q65" s="837"/>
    </row>
    <row r="66" spans="16:17" ht="15.75">
      <c r="P66" s="837"/>
      <c r="Q66" s="837"/>
    </row>
    <row r="67" spans="16:17" ht="15.75">
      <c r="P67" s="837"/>
      <c r="Q67" s="837"/>
    </row>
    <row r="68" spans="16:17" ht="15.75">
      <c r="P68" s="837"/>
      <c r="Q68" s="837"/>
    </row>
    <row r="69" spans="16:17" ht="15.75">
      <c r="P69" s="837"/>
      <c r="Q69" s="837"/>
    </row>
    <row r="70" spans="16:17" ht="15.75">
      <c r="P70" s="837"/>
      <c r="Q70" s="837"/>
    </row>
    <row r="71" spans="16:17" ht="15.75">
      <c r="P71" s="837"/>
      <c r="Q71" s="837"/>
    </row>
    <row r="72" spans="16:17" ht="15.75">
      <c r="P72" s="837"/>
      <c r="Q72" s="837"/>
    </row>
    <row r="73" spans="16:17" ht="15.75">
      <c r="P73" s="837"/>
      <c r="Q73" s="837"/>
    </row>
    <row r="74" spans="16:17" ht="15.75">
      <c r="P74" s="837"/>
      <c r="Q74" s="837"/>
    </row>
    <row r="75" spans="16:17" ht="15.75">
      <c r="P75" s="837"/>
      <c r="Q75" s="837"/>
    </row>
    <row r="76" spans="16:17" ht="15.75">
      <c r="P76" s="837"/>
      <c r="Q76" s="837"/>
    </row>
    <row r="77" spans="16:17" ht="15.75">
      <c r="P77" s="837"/>
      <c r="Q77" s="837"/>
    </row>
    <row r="78" spans="16:17" ht="15.75">
      <c r="P78" s="837"/>
      <c r="Q78" s="837"/>
    </row>
    <row r="79" spans="16:17" ht="15.75">
      <c r="P79" s="837"/>
      <c r="Q79" s="837"/>
    </row>
    <row r="80" spans="16:17" ht="15.75">
      <c r="P80" s="837"/>
      <c r="Q80" s="837"/>
    </row>
    <row r="81" spans="16:17" ht="15.75">
      <c r="P81" s="837"/>
      <c r="Q81" s="837"/>
    </row>
    <row r="82" spans="16:17" ht="15.75">
      <c r="P82" s="837"/>
      <c r="Q82" s="837"/>
    </row>
    <row r="83" spans="16:17" ht="15.75">
      <c r="P83" s="837"/>
      <c r="Q83" s="837"/>
    </row>
  </sheetData>
  <mergeCells count="36">
    <mergeCell ref="H29:H30"/>
    <mergeCell ref="H27:H28"/>
    <mergeCell ref="H25:H26"/>
    <mergeCell ref="I11:L13"/>
    <mergeCell ref="B3:M3"/>
    <mergeCell ref="B5:M5"/>
    <mergeCell ref="B7:M7"/>
    <mergeCell ref="B8:M8"/>
    <mergeCell ref="B10:M10"/>
    <mergeCell ref="Q15:Q34"/>
    <mergeCell ref="P14:P35"/>
    <mergeCell ref="M15:M19"/>
    <mergeCell ref="N15:O21"/>
    <mergeCell ref="K18:K34"/>
    <mergeCell ref="N33:N34"/>
    <mergeCell ref="O33:O34"/>
    <mergeCell ref="M21:M30"/>
    <mergeCell ref="K15:K17"/>
    <mergeCell ref="L15:L18"/>
    <mergeCell ref="L22:L23"/>
    <mergeCell ref="A14:A35"/>
    <mergeCell ref="N14:O14"/>
    <mergeCell ref="B15:B25"/>
    <mergeCell ref="C15:C25"/>
    <mergeCell ref="D15:D22"/>
    <mergeCell ref="E15:E22"/>
    <mergeCell ref="F15:F19"/>
    <mergeCell ref="G15:G19"/>
    <mergeCell ref="H15:H19"/>
    <mergeCell ref="I15:I19"/>
    <mergeCell ref="N23:O23"/>
    <mergeCell ref="L24:L26"/>
    <mergeCell ref="I26:I27"/>
    <mergeCell ref="D28:D29"/>
    <mergeCell ref="F21:F24"/>
    <mergeCell ref="J15:J24"/>
  </mergeCells>
  <pageMargins left="0.314" right="0.314" top="0.11799999999999999" bottom="0.27500000000000002" header="0.157" footer="0.11799999999999999"/>
  <pageSetup scale="61" firstPageNumber="59" orientation="landscape" r:id="rId1"/>
  <headerFooter>
    <oddFooter>&amp;C&amp;P</oddFooter>
  </headerFooter>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B00-000000000000}">
  <dimension ref="A1:L15"/>
  <sheetViews>
    <sheetView view="pageBreakPreview" zoomScale="120" zoomScaleNormal="120" zoomScaleSheetLayoutView="120" workbookViewId="0">
      <selection activeCell="J4" sqref="J4"/>
    </sheetView>
  </sheetViews>
  <sheetFormatPr defaultColWidth="8.85546875" defaultRowHeight="12"/>
  <cols>
    <col min="1" max="1" width="3.7109375" style="1190" customWidth="1"/>
    <col min="2" max="2" width="34.42578125" style="1190" customWidth="1"/>
    <col min="3" max="3" width="21.140625" style="1190" customWidth="1"/>
    <col min="4" max="4" width="12.42578125" style="1190" customWidth="1"/>
    <col min="5" max="5" width="11.42578125" style="1190" customWidth="1"/>
    <col min="6" max="7" width="8.85546875" style="1190"/>
    <col min="8" max="8" width="13.7109375" style="1190" customWidth="1"/>
    <col min="9" max="9" width="22" style="1190" customWidth="1"/>
    <col min="10" max="10" width="12.42578125" style="1190" customWidth="1"/>
    <col min="11" max="16384" width="8.85546875" style="1190"/>
  </cols>
  <sheetData>
    <row r="1" spans="1:12">
      <c r="A1" s="1480" t="s">
        <v>2158</v>
      </c>
    </row>
    <row r="2" spans="1:12">
      <c r="A2" s="1480"/>
    </row>
    <row r="3" spans="1:12">
      <c r="A3" s="1481"/>
      <c r="B3" s="1482" t="s">
        <v>2159</v>
      </c>
      <c r="C3" s="1482" t="s">
        <v>2160</v>
      </c>
      <c r="D3" s="1482" t="s">
        <v>2161</v>
      </c>
      <c r="E3" s="1482" t="s">
        <v>2162</v>
      </c>
      <c r="F3" s="1482" t="s">
        <v>2163</v>
      </c>
      <c r="G3" s="1482" t="s">
        <v>2164</v>
      </c>
      <c r="H3" s="1482" t="s">
        <v>2165</v>
      </c>
      <c r="I3" s="1482" t="s">
        <v>2166</v>
      </c>
      <c r="J3" s="1483" t="s">
        <v>2167</v>
      </c>
    </row>
    <row r="4" spans="1:12" ht="141" customHeight="1">
      <c r="A4" s="1484"/>
      <c r="B4" s="1485" t="s">
        <v>2168</v>
      </c>
      <c r="C4" s="1486" t="str">
        <f>CONCATENATE("Pelo menos uma pessoa que morava neste agregado [...]?
1. Sim
2. Não ► Linha seguinte")</f>
        <v>Pelo menos uma pessoa que morava neste agregado [...]?
1. Sim
2. Não ► Linha seguinte</v>
      </c>
      <c r="D4" s="1486" t="str">
        <f>CONCATENATE("A pessoa ainda é membro do agregado?
1. Sim
2. Não ►",F3,)</f>
        <v>A pessoa ainda é membro do agregado?
1. Sim
2. Não ►14A.05</v>
      </c>
      <c r="E4" s="1486" t="str">
        <f>CONCATENATE("Qual é o seu número de ordem? 
►►",I3)</f>
        <v>Qual é o seu número de ordem? 
►►14A.08</v>
      </c>
      <c r="F4" s="1486" t="s">
        <v>2169</v>
      </c>
      <c r="G4" s="1486" t="s">
        <v>2170</v>
      </c>
      <c r="H4" s="1486" t="s">
        <v>2171</v>
      </c>
      <c r="I4" s="1486" t="s">
        <v>2172</v>
      </c>
      <c r="J4" s="1486" t="s">
        <v>2173</v>
      </c>
      <c r="K4" s="1487"/>
      <c r="L4" s="1487"/>
    </row>
    <row r="5" spans="1:12" ht="14.45" customHeight="1">
      <c r="A5" s="1488"/>
      <c r="B5" s="1489"/>
      <c r="C5" s="1490" t="s">
        <v>420</v>
      </c>
      <c r="D5" s="1490" t="s">
        <v>420</v>
      </c>
      <c r="E5" s="1490" t="s">
        <v>1106</v>
      </c>
      <c r="F5" s="1490" t="s">
        <v>420</v>
      </c>
      <c r="G5" s="1490" t="s">
        <v>2174</v>
      </c>
      <c r="H5" s="1490" t="s">
        <v>420</v>
      </c>
      <c r="I5" s="1490" t="s">
        <v>420</v>
      </c>
      <c r="J5" s="1490" t="s">
        <v>426</v>
      </c>
      <c r="K5" s="1487"/>
      <c r="L5" s="1487"/>
    </row>
    <row r="6" spans="1:12" ht="32.1" customHeight="1">
      <c r="A6" s="1491">
        <v>1</v>
      </c>
      <c r="B6" s="1492" t="s">
        <v>2175</v>
      </c>
      <c r="C6" s="1493"/>
      <c r="D6" s="1493"/>
      <c r="E6" s="1481"/>
      <c r="F6" s="1481"/>
      <c r="G6" s="1481"/>
      <c r="H6" s="1481"/>
      <c r="I6" s="1481"/>
      <c r="J6" s="1481"/>
    </row>
    <row r="7" spans="1:12" ht="35.25" customHeight="1">
      <c r="A7" s="1494">
        <v>2</v>
      </c>
      <c r="B7" s="1492" t="s">
        <v>2176</v>
      </c>
      <c r="C7" s="1481"/>
      <c r="D7" s="1481"/>
      <c r="E7" s="1481"/>
      <c r="F7" s="1481"/>
      <c r="G7" s="1481"/>
      <c r="H7" s="1481"/>
      <c r="I7" s="1481"/>
      <c r="J7" s="1481"/>
    </row>
    <row r="8" spans="1:12" ht="36">
      <c r="A8" s="1494">
        <f t="shared" ref="A8:A13" si="0">A7+1</f>
        <v>3</v>
      </c>
      <c r="B8" s="1492" t="s">
        <v>2177</v>
      </c>
      <c r="C8" s="1481"/>
      <c r="D8" s="1481"/>
      <c r="E8" s="1481"/>
      <c r="F8" s="1481"/>
      <c r="G8" s="1481"/>
      <c r="H8" s="1481"/>
      <c r="I8" s="1481"/>
      <c r="J8" s="1481"/>
    </row>
    <row r="9" spans="1:12" ht="32.1" customHeight="1">
      <c r="A9" s="1494">
        <f t="shared" si="0"/>
        <v>4</v>
      </c>
      <c r="B9" s="1492" t="s">
        <v>2178</v>
      </c>
      <c r="C9" s="1481"/>
      <c r="D9" s="1481"/>
      <c r="E9" s="1481"/>
      <c r="F9" s="1481"/>
      <c r="G9" s="1481"/>
      <c r="H9" s="1481"/>
      <c r="I9" s="1481"/>
      <c r="J9" s="1481"/>
    </row>
    <row r="10" spans="1:12" ht="32.1" customHeight="1">
      <c r="A10" s="1494">
        <f t="shared" si="0"/>
        <v>5</v>
      </c>
      <c r="B10" s="1495" t="s">
        <v>2179</v>
      </c>
      <c r="C10" s="1481"/>
      <c r="D10" s="1481"/>
      <c r="E10" s="1481"/>
      <c r="F10" s="1481"/>
      <c r="G10" s="1481"/>
      <c r="H10" s="1481"/>
      <c r="I10" s="1481"/>
      <c r="J10" s="1481"/>
    </row>
    <row r="11" spans="1:12" ht="32.1" customHeight="1">
      <c r="A11" s="1494">
        <f t="shared" si="0"/>
        <v>6</v>
      </c>
      <c r="B11" s="1495" t="s">
        <v>2180</v>
      </c>
      <c r="C11" s="1481"/>
      <c r="D11" s="1481"/>
      <c r="E11" s="1481"/>
      <c r="F11" s="1481"/>
      <c r="G11" s="1481"/>
      <c r="H11" s="1481"/>
      <c r="I11" s="1481"/>
      <c r="J11" s="1481"/>
    </row>
    <row r="12" spans="1:12" ht="32.1" customHeight="1">
      <c r="A12" s="1494">
        <f t="shared" si="0"/>
        <v>7</v>
      </c>
      <c r="B12" s="1495" t="s">
        <v>2181</v>
      </c>
      <c r="C12" s="1481"/>
      <c r="D12" s="1481"/>
      <c r="E12" s="1481"/>
      <c r="F12" s="1481"/>
      <c r="G12" s="1481"/>
      <c r="H12" s="1481"/>
      <c r="I12" s="1481"/>
      <c r="J12" s="1481"/>
    </row>
    <row r="13" spans="1:12" ht="32.1" customHeight="1">
      <c r="A13" s="1494">
        <f t="shared" si="0"/>
        <v>8</v>
      </c>
      <c r="B13" s="1495" t="s">
        <v>2182</v>
      </c>
      <c r="C13" s="1481"/>
      <c r="D13" s="1481"/>
      <c r="E13" s="1481"/>
      <c r="F13" s="1481"/>
      <c r="G13" s="1481"/>
      <c r="H13" s="1481"/>
      <c r="I13" s="1481"/>
      <c r="J13" s="1481"/>
    </row>
    <row r="14" spans="1:12">
      <c r="A14" s="1496"/>
      <c r="B14" s="1497"/>
    </row>
    <row r="15" spans="1:12">
      <c r="A15" s="1496"/>
      <c r="B15" s="1497"/>
    </row>
  </sheetData>
  <pageMargins left="0.7" right="0.7" top="0.75" bottom="0.75" header="0.3" footer="0.3"/>
  <pageSetup scale="78" orientation="landscape"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C00-000000000000}">
  <dimension ref="A1:N44"/>
  <sheetViews>
    <sheetView view="pageBreakPreview" topLeftCell="A33" zoomScale="140" zoomScaleNormal="140" zoomScaleSheetLayoutView="140" workbookViewId="0">
      <selection activeCell="E5" sqref="E5:J14"/>
    </sheetView>
  </sheetViews>
  <sheetFormatPr defaultColWidth="8.85546875" defaultRowHeight="12.75"/>
  <cols>
    <col min="1" max="1" width="6" style="1193" customWidth="1"/>
    <col min="2" max="2" width="24.42578125" style="1193" customWidth="1"/>
    <col min="3" max="4" width="18.42578125" style="1193" customWidth="1"/>
    <col min="5" max="5" width="7" style="1193" customWidth="1"/>
    <col min="6" max="6" width="5.140625" style="1193" customWidth="1"/>
    <col min="7" max="8" width="8.140625" style="1193" customWidth="1"/>
    <col min="9" max="9" width="9.140625" style="1193" customWidth="1"/>
    <col min="10" max="10" width="9.42578125" style="1193" customWidth="1"/>
    <col min="11" max="12" width="6.7109375" style="1193" customWidth="1"/>
    <col min="13" max="13" width="6.42578125" style="1193" customWidth="1"/>
    <col min="14" max="14" width="31.140625" style="1193" customWidth="1"/>
    <col min="15" max="16384" width="8.85546875" style="1193"/>
  </cols>
  <sheetData>
    <row r="1" spans="1:14" ht="13.5">
      <c r="A1" s="1016" t="s">
        <v>2183</v>
      </c>
      <c r="B1" s="1191"/>
      <c r="C1" s="1191"/>
      <c r="D1" s="1191"/>
      <c r="E1" s="919"/>
      <c r="F1" s="1192"/>
      <c r="G1" s="1192"/>
      <c r="H1" s="1192"/>
      <c r="I1" s="1192"/>
      <c r="J1" s="1192"/>
      <c r="K1" s="1192"/>
      <c r="L1" s="1191"/>
      <c r="M1" s="1191"/>
      <c r="N1" s="1190"/>
    </row>
    <row r="2" spans="1:14" ht="13.5" customHeight="1">
      <c r="A2" s="1194"/>
      <c r="B2" s="1190"/>
      <c r="C2" s="1195"/>
      <c r="D2" s="1195"/>
      <c r="E2" s="2796" t="s">
        <v>2184</v>
      </c>
      <c r="F2" s="2796"/>
      <c r="G2" s="2796"/>
      <c r="H2" s="2796"/>
      <c r="I2" s="2796"/>
      <c r="J2" s="2796"/>
      <c r="K2" s="2796"/>
      <c r="L2" s="2796"/>
      <c r="M2" s="2796"/>
      <c r="N2" s="1823"/>
    </row>
    <row r="3" spans="1:14" ht="14.25" thickBot="1">
      <c r="A3" s="1196" t="s">
        <v>2185</v>
      </c>
      <c r="B3" s="784" t="s">
        <v>2186</v>
      </c>
      <c r="C3" s="1195"/>
      <c r="D3" s="1195"/>
      <c r="E3" s="2797"/>
      <c r="F3" s="2797"/>
      <c r="G3" s="2797"/>
      <c r="H3" s="2797"/>
      <c r="I3" s="2797"/>
      <c r="J3" s="2797"/>
      <c r="K3" s="2797"/>
      <c r="L3" s="2797"/>
      <c r="M3" s="2797"/>
      <c r="N3" s="1824"/>
    </row>
    <row r="4" spans="1:14" ht="13.5">
      <c r="A4" s="1196" t="s">
        <v>2187</v>
      </c>
      <c r="B4" s="2812" t="s">
        <v>2188</v>
      </c>
      <c r="C4" s="1196" t="s">
        <v>2189</v>
      </c>
      <c r="D4" s="1825" t="s">
        <v>2190</v>
      </c>
      <c r="E4" s="1196" t="s">
        <v>2191</v>
      </c>
      <c r="F4" s="1120"/>
      <c r="G4" s="1120"/>
      <c r="H4" s="1120"/>
      <c r="I4" s="1120"/>
      <c r="J4" s="1122"/>
      <c r="K4" s="1196" t="s">
        <v>2192</v>
      </c>
      <c r="L4" s="1120"/>
      <c r="M4" s="1120"/>
      <c r="N4" s="1197" t="s">
        <v>2193</v>
      </c>
    </row>
    <row r="5" spans="1:14" ht="40.5" customHeight="1">
      <c r="A5" s="1198"/>
      <c r="B5" s="2813"/>
      <c r="C5" s="2798" t="s">
        <v>2194</v>
      </c>
      <c r="D5" s="2799" t="s">
        <v>2195</v>
      </c>
      <c r="E5" s="2573" t="s">
        <v>2196</v>
      </c>
      <c r="F5" s="2571"/>
      <c r="G5" s="2571"/>
      <c r="H5" s="2571"/>
      <c r="I5" s="2571"/>
      <c r="J5" s="2574"/>
      <c r="K5" s="2804" t="s">
        <v>2197</v>
      </c>
      <c r="L5" s="2805"/>
      <c r="M5" s="2805"/>
      <c r="N5" s="1346"/>
    </row>
    <row r="6" spans="1:14" ht="13.5">
      <c r="A6" s="1198"/>
      <c r="B6" s="2813"/>
      <c r="C6" s="2798"/>
      <c r="D6" s="2798"/>
      <c r="E6" s="2464"/>
      <c r="F6" s="2572"/>
      <c r="G6" s="2572"/>
      <c r="H6" s="2572"/>
      <c r="I6" s="2572"/>
      <c r="J6" s="2476"/>
      <c r="K6" s="2804"/>
      <c r="L6" s="2805"/>
      <c r="M6" s="2805"/>
      <c r="N6" s="1200" t="s">
        <v>2198</v>
      </c>
    </row>
    <row r="7" spans="1:14" ht="13.5">
      <c r="A7" s="1198"/>
      <c r="B7" s="2813"/>
      <c r="C7" s="2798"/>
      <c r="D7" s="2798"/>
      <c r="E7" s="2464"/>
      <c r="F7" s="2572"/>
      <c r="G7" s="2572"/>
      <c r="H7" s="2572"/>
      <c r="I7" s="2572"/>
      <c r="J7" s="2476"/>
      <c r="K7" s="2804"/>
      <c r="L7" s="2805"/>
      <c r="M7" s="2805"/>
      <c r="N7" s="1200" t="s">
        <v>2199</v>
      </c>
    </row>
    <row r="8" spans="1:14" ht="27" customHeight="1">
      <c r="A8" s="1201" t="s">
        <v>2200</v>
      </c>
      <c r="B8" s="1199"/>
      <c r="C8" s="2798"/>
      <c r="D8" s="2798"/>
      <c r="E8" s="2464"/>
      <c r="F8" s="2572"/>
      <c r="G8" s="2572"/>
      <c r="H8" s="2572"/>
      <c r="I8" s="2572"/>
      <c r="J8" s="2476"/>
      <c r="K8" s="2804"/>
      <c r="L8" s="2805"/>
      <c r="M8" s="2805"/>
      <c r="N8" s="1200" t="s">
        <v>2201</v>
      </c>
    </row>
    <row r="9" spans="1:14" ht="13.5">
      <c r="A9" s="1198"/>
      <c r="B9" s="1199"/>
      <c r="C9" s="2798"/>
      <c r="D9" s="2798"/>
      <c r="E9" s="2464"/>
      <c r="F9" s="2572"/>
      <c r="G9" s="2572"/>
      <c r="H9" s="2572"/>
      <c r="I9" s="2572"/>
      <c r="J9" s="2476"/>
      <c r="K9" s="2804"/>
      <c r="L9" s="2805"/>
      <c r="M9" s="2805"/>
      <c r="N9" s="1202" t="s">
        <v>2202</v>
      </c>
    </row>
    <row r="10" spans="1:14" ht="13.5" customHeight="1">
      <c r="A10" s="1198"/>
      <c r="B10" s="1199"/>
      <c r="C10" s="2798"/>
      <c r="D10" s="2798"/>
      <c r="E10" s="2464"/>
      <c r="F10" s="2572"/>
      <c r="G10" s="2572"/>
      <c r="H10" s="2572"/>
      <c r="I10" s="2572"/>
      <c r="J10" s="2476"/>
      <c r="K10" s="2804"/>
      <c r="L10" s="2805"/>
      <c r="M10" s="2805"/>
      <c r="N10" s="1202" t="s">
        <v>2203</v>
      </c>
    </row>
    <row r="11" spans="1:14" ht="27" customHeight="1">
      <c r="A11" s="1198"/>
      <c r="B11" s="1199"/>
      <c r="C11" s="2798"/>
      <c r="D11" s="2798"/>
      <c r="E11" s="2464"/>
      <c r="F11" s="2572"/>
      <c r="G11" s="2572"/>
      <c r="H11" s="2572"/>
      <c r="I11" s="2572"/>
      <c r="J11" s="2476"/>
      <c r="K11" s="2804"/>
      <c r="L11" s="2805"/>
      <c r="M11" s="2805"/>
      <c r="N11" s="2814" t="s">
        <v>2204</v>
      </c>
    </row>
    <row r="12" spans="1:14" ht="13.5">
      <c r="A12" s="1198"/>
      <c r="B12" s="1199"/>
      <c r="C12" s="2798"/>
      <c r="D12" s="2798"/>
      <c r="E12" s="2464"/>
      <c r="F12" s="2572"/>
      <c r="G12" s="2572"/>
      <c r="H12" s="2572"/>
      <c r="I12" s="2572"/>
      <c r="J12" s="2476"/>
      <c r="K12" s="2804"/>
      <c r="L12" s="2805"/>
      <c r="M12" s="2805"/>
      <c r="N12" s="2814"/>
    </row>
    <row r="13" spans="1:14" ht="12.75" customHeight="1">
      <c r="A13" s="1198"/>
      <c r="B13" s="1199"/>
      <c r="C13" s="2798"/>
      <c r="D13" s="2798"/>
      <c r="E13" s="2464"/>
      <c r="F13" s="2572"/>
      <c r="G13" s="2572"/>
      <c r="H13" s="2572"/>
      <c r="I13" s="2572"/>
      <c r="J13" s="2476"/>
      <c r="K13" s="2804"/>
      <c r="L13" s="2805"/>
      <c r="M13" s="2805"/>
      <c r="N13" s="2814"/>
    </row>
    <row r="14" spans="1:14" ht="13.5">
      <c r="A14" s="1198"/>
      <c r="B14" s="1199"/>
      <c r="C14" s="2798"/>
      <c r="D14" s="2800"/>
      <c r="E14" s="2801"/>
      <c r="F14" s="2802"/>
      <c r="G14" s="2802"/>
      <c r="H14" s="2802"/>
      <c r="I14" s="2802"/>
      <c r="J14" s="2803"/>
      <c r="K14" s="2804"/>
      <c r="L14" s="2805"/>
      <c r="M14" s="2805"/>
      <c r="N14" s="1202" t="s">
        <v>2205</v>
      </c>
    </row>
    <row r="15" spans="1:14" ht="13.5" customHeight="1">
      <c r="A15" s="1198"/>
      <c r="B15" s="1199"/>
      <c r="C15" s="1826" t="s">
        <v>106</v>
      </c>
      <c r="D15" s="1827"/>
      <c r="E15" s="2815" t="s">
        <v>2206</v>
      </c>
      <c r="F15" s="2809" t="s">
        <v>2207</v>
      </c>
      <c r="G15" s="2809" t="s">
        <v>2208</v>
      </c>
      <c r="H15" s="2806" t="s">
        <v>2209</v>
      </c>
      <c r="I15" s="2809" t="s">
        <v>2210</v>
      </c>
      <c r="J15" s="2809" t="s">
        <v>2211</v>
      </c>
      <c r="K15" s="2804"/>
      <c r="L15" s="2805"/>
      <c r="M15" s="2805"/>
      <c r="N15" s="2814" t="s">
        <v>2212</v>
      </c>
    </row>
    <row r="16" spans="1:14" ht="13.5" customHeight="1">
      <c r="A16" s="1198"/>
      <c r="B16" s="1199"/>
      <c r="C16" s="1826" t="s">
        <v>2213</v>
      </c>
      <c r="D16" s="1827"/>
      <c r="E16" s="2816"/>
      <c r="F16" s="2810"/>
      <c r="G16" s="2810"/>
      <c r="H16" s="2807"/>
      <c r="I16" s="2810"/>
      <c r="J16" s="2810"/>
      <c r="K16" s="2804"/>
      <c r="L16" s="2805"/>
      <c r="M16" s="2805"/>
      <c r="N16" s="2814"/>
    </row>
    <row r="17" spans="1:14" ht="27" customHeight="1" thickBot="1">
      <c r="A17" s="1203"/>
      <c r="B17" s="1204"/>
      <c r="C17" s="1828"/>
      <c r="D17" s="1829"/>
      <c r="E17" s="2817"/>
      <c r="F17" s="2811"/>
      <c r="G17" s="2811"/>
      <c r="H17" s="2808"/>
      <c r="I17" s="2811"/>
      <c r="J17" s="2811"/>
      <c r="K17" s="1205" t="s">
        <v>2214</v>
      </c>
      <c r="L17" s="1205" t="s">
        <v>2215</v>
      </c>
      <c r="M17" s="1205" t="s">
        <v>2216</v>
      </c>
      <c r="N17" s="2814" t="s">
        <v>2217</v>
      </c>
    </row>
    <row r="18" spans="1:14" ht="12.75" customHeight="1" thickTop="1">
      <c r="A18" s="1206">
        <v>101</v>
      </c>
      <c r="B18" s="1207" t="s">
        <v>2218</v>
      </c>
      <c r="C18" s="1830"/>
      <c r="D18" s="1831"/>
      <c r="E18" s="1208"/>
      <c r="F18" s="1209"/>
      <c r="G18" s="1209"/>
      <c r="H18" s="1209"/>
      <c r="I18" s="1209"/>
      <c r="J18" s="1210"/>
      <c r="K18" s="1211"/>
      <c r="L18" s="1212"/>
      <c r="M18" s="1212"/>
      <c r="N18" s="2814"/>
    </row>
    <row r="19" spans="1:14" ht="27">
      <c r="A19" s="1213">
        <f>A18+1</f>
        <v>102</v>
      </c>
      <c r="B19" s="1214" t="s">
        <v>2219</v>
      </c>
      <c r="C19" s="1832"/>
      <c r="D19" s="1831"/>
      <c r="E19" s="1208"/>
      <c r="F19" s="1209"/>
      <c r="G19" s="1209"/>
      <c r="H19" s="1209"/>
      <c r="I19" s="1209"/>
      <c r="J19" s="1210"/>
      <c r="K19" s="1215"/>
      <c r="L19" s="1216"/>
      <c r="M19" s="1216"/>
      <c r="N19" s="1202" t="s">
        <v>2220</v>
      </c>
    </row>
    <row r="20" spans="1:14" ht="13.5">
      <c r="A20" s="1213">
        <f t="shared" ref="A20:A39" si="0">A19+1</f>
        <v>103</v>
      </c>
      <c r="B20" s="1207" t="s">
        <v>2221</v>
      </c>
      <c r="C20" s="1832"/>
      <c r="D20" s="1831"/>
      <c r="E20" s="1208"/>
      <c r="F20" s="1209"/>
      <c r="G20" s="1209"/>
      <c r="H20" s="1209"/>
      <c r="I20" s="1209"/>
      <c r="J20" s="1210"/>
      <c r="K20" s="1215"/>
      <c r="L20" s="1216"/>
      <c r="M20" s="1216"/>
      <c r="N20" s="1202" t="s">
        <v>2222</v>
      </c>
    </row>
    <row r="21" spans="1:14" ht="13.5">
      <c r="A21" s="1213">
        <f t="shared" si="0"/>
        <v>104</v>
      </c>
      <c r="B21" s="1217" t="s">
        <v>2223</v>
      </c>
      <c r="C21" s="1833"/>
      <c r="D21" s="1834"/>
      <c r="E21" s="1208"/>
      <c r="F21" s="1209"/>
      <c r="G21" s="1209"/>
      <c r="H21" s="1209"/>
      <c r="I21" s="1209"/>
      <c r="J21" s="1210"/>
      <c r="K21" s="1215"/>
      <c r="L21" s="1216"/>
      <c r="M21" s="1216"/>
      <c r="N21" s="1218" t="s">
        <v>2224</v>
      </c>
    </row>
    <row r="22" spans="1:14" ht="26.25" customHeight="1">
      <c r="A22" s="1213">
        <f t="shared" si="0"/>
        <v>105</v>
      </c>
      <c r="B22" s="1207" t="s">
        <v>2225</v>
      </c>
      <c r="C22" s="1219"/>
      <c r="D22" s="1217"/>
      <c r="E22" s="1208"/>
      <c r="F22" s="1209"/>
      <c r="G22" s="1209"/>
      <c r="H22" s="1209"/>
      <c r="I22" s="1209"/>
      <c r="J22" s="1210"/>
      <c r="K22" s="1215"/>
      <c r="L22" s="1216"/>
      <c r="M22" s="1216"/>
      <c r="N22" s="1218" t="s">
        <v>2226</v>
      </c>
    </row>
    <row r="23" spans="1:14" ht="13.5">
      <c r="A23" s="1213">
        <f t="shared" si="0"/>
        <v>106</v>
      </c>
      <c r="B23" s="1207" t="s">
        <v>2227</v>
      </c>
      <c r="C23" s="1219"/>
      <c r="D23" s="1217"/>
      <c r="E23" s="1208"/>
      <c r="F23" s="1209"/>
      <c r="G23" s="1209"/>
      <c r="H23" s="1209"/>
      <c r="I23" s="1209"/>
      <c r="J23" s="1210"/>
      <c r="K23" s="1215"/>
      <c r="L23" s="1216"/>
      <c r="M23" s="1216"/>
      <c r="N23" s="1200" t="s">
        <v>2228</v>
      </c>
    </row>
    <row r="24" spans="1:14" ht="13.5">
      <c r="A24" s="1213">
        <f t="shared" si="0"/>
        <v>107</v>
      </c>
      <c r="B24" s="1220" t="s">
        <v>2229</v>
      </c>
      <c r="C24" s="1219"/>
      <c r="D24" s="1217"/>
      <c r="E24" s="1208"/>
      <c r="F24" s="1209"/>
      <c r="G24" s="1209"/>
      <c r="H24" s="1209"/>
      <c r="I24" s="1209"/>
      <c r="J24" s="1210"/>
      <c r="K24" s="1215"/>
      <c r="L24" s="1216"/>
      <c r="M24" s="1216"/>
      <c r="N24" s="1200" t="s">
        <v>2230</v>
      </c>
    </row>
    <row r="25" spans="1:14" ht="16.5" customHeight="1">
      <c r="A25" s="1213">
        <f t="shared" si="0"/>
        <v>108</v>
      </c>
      <c r="B25" s="869" t="s">
        <v>2231</v>
      </c>
      <c r="C25" s="1219"/>
      <c r="D25" s="1217"/>
      <c r="E25" s="1208"/>
      <c r="F25" s="1209"/>
      <c r="G25" s="1209"/>
      <c r="H25" s="1209"/>
      <c r="I25" s="1209"/>
      <c r="J25" s="1210"/>
      <c r="K25" s="1215"/>
      <c r="L25" s="1216"/>
      <c r="M25" s="1216"/>
      <c r="N25" s="1221" t="s">
        <v>2232</v>
      </c>
    </row>
    <row r="26" spans="1:14" ht="24" customHeight="1">
      <c r="A26" s="1213">
        <f t="shared" si="0"/>
        <v>109</v>
      </c>
      <c r="B26" s="1207" t="s">
        <v>2233</v>
      </c>
      <c r="C26" s="1219"/>
      <c r="D26" s="1217"/>
      <c r="E26" s="1208"/>
      <c r="F26" s="1209"/>
      <c r="G26" s="1209"/>
      <c r="H26" s="1209"/>
      <c r="I26" s="1209"/>
      <c r="J26" s="1210"/>
      <c r="K26" s="1215"/>
      <c r="L26" s="1216"/>
      <c r="M26" s="1216"/>
      <c r="N26" s="1221" t="s">
        <v>2234</v>
      </c>
    </row>
    <row r="27" spans="1:14" ht="17.25" customHeight="1">
      <c r="A27" s="1213">
        <f t="shared" si="0"/>
        <v>110</v>
      </c>
      <c r="B27" s="1207" t="s">
        <v>2235</v>
      </c>
      <c r="C27" s="1219"/>
      <c r="D27" s="1217"/>
      <c r="E27" s="1208"/>
      <c r="F27" s="1209"/>
      <c r="G27" s="1209"/>
      <c r="H27" s="1209"/>
      <c r="I27" s="1209"/>
      <c r="J27" s="1210"/>
      <c r="K27" s="1215"/>
      <c r="L27" s="1216"/>
      <c r="M27" s="1216"/>
      <c r="N27" s="1221" t="s">
        <v>2236</v>
      </c>
    </row>
    <row r="28" spans="1:14" ht="16.5" customHeight="1">
      <c r="A28" s="1213">
        <f t="shared" si="0"/>
        <v>111</v>
      </c>
      <c r="B28" s="1207" t="s">
        <v>2237</v>
      </c>
      <c r="C28" s="1219"/>
      <c r="D28" s="1217"/>
      <c r="E28" s="1208"/>
      <c r="F28" s="1209"/>
      <c r="G28" s="1209"/>
      <c r="H28" s="1209"/>
      <c r="I28" s="1209"/>
      <c r="J28" s="1210"/>
      <c r="K28" s="1215"/>
      <c r="L28" s="1216"/>
      <c r="M28" s="1216"/>
      <c r="N28" s="1221" t="s">
        <v>2238</v>
      </c>
    </row>
    <row r="29" spans="1:14" ht="27">
      <c r="A29" s="1213">
        <f t="shared" si="0"/>
        <v>112</v>
      </c>
      <c r="B29" s="1207" t="s">
        <v>2239</v>
      </c>
      <c r="C29" s="1219"/>
      <c r="D29" s="1217"/>
      <c r="E29" s="1208"/>
      <c r="F29" s="1209"/>
      <c r="G29" s="1209"/>
      <c r="H29" s="1209"/>
      <c r="I29" s="1209"/>
      <c r="J29" s="1210"/>
      <c r="K29" s="1215"/>
      <c r="L29" s="1216"/>
      <c r="M29" s="1216"/>
      <c r="N29" s="1202" t="s">
        <v>2240</v>
      </c>
    </row>
    <row r="30" spans="1:14" ht="50.25" customHeight="1">
      <c r="A30" s="1213">
        <f t="shared" si="0"/>
        <v>113</v>
      </c>
      <c r="B30" s="1207" t="s">
        <v>2241</v>
      </c>
      <c r="C30" s="1219"/>
      <c r="D30" s="1217"/>
      <c r="E30" s="1208"/>
      <c r="F30" s="1209"/>
      <c r="G30" s="1209"/>
      <c r="H30" s="1209"/>
      <c r="I30" s="1209"/>
      <c r="J30" s="1210"/>
      <c r="K30" s="1215"/>
      <c r="L30" s="1216"/>
      <c r="M30" s="1216"/>
      <c r="N30" s="1218" t="s">
        <v>2242</v>
      </c>
    </row>
    <row r="31" spans="1:14" ht="27" customHeight="1">
      <c r="A31" s="1213">
        <f t="shared" si="0"/>
        <v>114</v>
      </c>
      <c r="B31" s="1207" t="s">
        <v>2243</v>
      </c>
      <c r="C31" s="1219"/>
      <c r="D31" s="1217"/>
      <c r="E31" s="1208"/>
      <c r="F31" s="1209"/>
      <c r="G31" s="1209"/>
      <c r="H31" s="1209"/>
      <c r="I31" s="1209"/>
      <c r="J31" s="1210"/>
      <c r="K31" s="1215"/>
      <c r="L31" s="1216"/>
      <c r="M31" s="1216"/>
      <c r="N31" s="1200" t="s">
        <v>2244</v>
      </c>
    </row>
    <row r="32" spans="1:14" ht="39" customHeight="1">
      <c r="A32" s="1213">
        <f t="shared" si="0"/>
        <v>115</v>
      </c>
      <c r="B32" s="1207" t="s">
        <v>2245</v>
      </c>
      <c r="C32" s="1219"/>
      <c r="D32" s="1217"/>
      <c r="E32" s="1208"/>
      <c r="F32" s="1209"/>
      <c r="G32" s="1209"/>
      <c r="H32" s="1209"/>
      <c r="I32" s="1209"/>
      <c r="J32" s="1210"/>
      <c r="K32" s="1215"/>
      <c r="L32" s="1216"/>
      <c r="M32" s="1216"/>
      <c r="N32" s="1236" t="s">
        <v>2246</v>
      </c>
    </row>
    <row r="33" spans="1:14" ht="27" customHeight="1">
      <c r="A33" s="1213">
        <f t="shared" si="0"/>
        <v>116</v>
      </c>
      <c r="B33" s="1207" t="s">
        <v>2247</v>
      </c>
      <c r="C33" s="1222"/>
      <c r="D33" s="1223"/>
      <c r="E33" s="1224"/>
      <c r="F33" s="1225"/>
      <c r="G33" s="1225"/>
      <c r="H33" s="1225"/>
      <c r="I33" s="1225"/>
      <c r="J33" s="1226"/>
      <c r="K33" s="1215"/>
      <c r="L33" s="1216"/>
      <c r="M33" s="1216"/>
      <c r="N33" s="1200" t="s">
        <v>2248</v>
      </c>
    </row>
    <row r="34" spans="1:14" ht="27.75" customHeight="1">
      <c r="A34" s="1213">
        <f t="shared" si="0"/>
        <v>117</v>
      </c>
      <c r="B34" s="1207" t="s">
        <v>2249</v>
      </c>
      <c r="C34" s="1222"/>
      <c r="D34" s="1223"/>
      <c r="E34" s="1224"/>
      <c r="F34" s="1225"/>
      <c r="G34" s="1225"/>
      <c r="H34" s="1225"/>
      <c r="I34" s="1225"/>
      <c r="J34" s="1226"/>
      <c r="K34" s="1215"/>
      <c r="L34" s="1216"/>
      <c r="M34" s="1216"/>
      <c r="N34" s="1200" t="s">
        <v>2250</v>
      </c>
    </row>
    <row r="35" spans="1:14" ht="15.75" customHeight="1">
      <c r="A35" s="1213">
        <f t="shared" si="0"/>
        <v>118</v>
      </c>
      <c r="B35" s="1207" t="s">
        <v>2251</v>
      </c>
      <c r="C35" s="1222"/>
      <c r="D35" s="1227"/>
      <c r="E35" s="1228"/>
      <c r="F35" s="1229"/>
      <c r="G35" s="1229"/>
      <c r="H35" s="1229"/>
      <c r="I35" s="1229"/>
      <c r="J35" s="1230"/>
      <c r="K35" s="1215"/>
      <c r="L35" s="1216"/>
      <c r="M35" s="1216"/>
      <c r="N35" s="1200" t="s">
        <v>2252</v>
      </c>
    </row>
    <row r="36" spans="1:14" ht="23.25" customHeight="1">
      <c r="A36" s="1213">
        <f t="shared" si="0"/>
        <v>119</v>
      </c>
      <c r="B36" s="1214" t="s">
        <v>2253</v>
      </c>
      <c r="C36" s="1219"/>
      <c r="D36" s="1217"/>
      <c r="E36" s="1208"/>
      <c r="F36" s="1209"/>
      <c r="G36" s="1209"/>
      <c r="H36" s="1209"/>
      <c r="I36" s="1209"/>
      <c r="J36" s="1210"/>
      <c r="K36" s="1215"/>
      <c r="L36" s="1216"/>
      <c r="M36" s="1216"/>
      <c r="N36" s="1346"/>
    </row>
    <row r="37" spans="1:14" ht="26.25" customHeight="1">
      <c r="A37" s="1213">
        <f t="shared" si="0"/>
        <v>120</v>
      </c>
      <c r="B37" s="1214" t="s">
        <v>2254</v>
      </c>
      <c r="C37" s="1219"/>
      <c r="D37" s="1217"/>
      <c r="E37" s="1208"/>
      <c r="F37" s="1209"/>
      <c r="G37" s="1209"/>
      <c r="H37" s="1209"/>
      <c r="I37" s="1209"/>
      <c r="J37" s="1210"/>
      <c r="K37" s="1215"/>
      <c r="L37" s="1216"/>
      <c r="M37" s="1216"/>
      <c r="N37" s="1346"/>
    </row>
    <row r="38" spans="1:14" s="1231" customFormat="1" ht="13.5">
      <c r="A38" s="1213">
        <f t="shared" si="0"/>
        <v>121</v>
      </c>
      <c r="B38" s="1214" t="s">
        <v>2255</v>
      </c>
      <c r="C38" s="1219"/>
      <c r="D38" s="1217"/>
      <c r="E38" s="1208"/>
      <c r="F38" s="1209"/>
      <c r="G38" s="1209"/>
      <c r="H38" s="1209"/>
      <c r="I38" s="1209"/>
      <c r="J38" s="1210"/>
      <c r="K38" s="1215"/>
      <c r="L38" s="1216"/>
      <c r="M38" s="1216"/>
      <c r="N38" s="1200"/>
    </row>
    <row r="39" spans="1:14" ht="13.5">
      <c r="A39" s="1213">
        <f t="shared" si="0"/>
        <v>122</v>
      </c>
      <c r="B39" s="1214" t="s">
        <v>2256</v>
      </c>
      <c r="C39" s="1219"/>
      <c r="D39" s="1217"/>
      <c r="E39" s="1208"/>
      <c r="F39" s="1209"/>
      <c r="G39" s="1209"/>
      <c r="H39" s="1209"/>
      <c r="I39" s="1209"/>
      <c r="J39" s="1210"/>
      <c r="K39" s="1215"/>
      <c r="L39" s="1216"/>
      <c r="M39" s="1216"/>
      <c r="N39" s="1463"/>
    </row>
    <row r="40" spans="1:14" ht="28.7" customHeight="1">
      <c r="A40" s="1232"/>
      <c r="C40" s="1233"/>
      <c r="D40" s="1233"/>
      <c r="E40" s="1233"/>
      <c r="F40" s="1233"/>
      <c r="G40" s="1233"/>
      <c r="H40" s="1233"/>
      <c r="I40" s="1233"/>
      <c r="J40" s="1233"/>
      <c r="K40" s="1234"/>
      <c r="L40" s="1234"/>
      <c r="M40" s="1234"/>
    </row>
    <row r="42" spans="1:14" ht="13.5">
      <c r="B42" s="1235"/>
    </row>
    <row r="43" spans="1:14" ht="13.5">
      <c r="B43" s="1235"/>
    </row>
    <row r="44" spans="1:14" ht="13.5">
      <c r="B44" s="1235"/>
    </row>
  </sheetData>
  <mergeCells count="15">
    <mergeCell ref="B4:B7"/>
    <mergeCell ref="N17:N18"/>
    <mergeCell ref="N15:N16"/>
    <mergeCell ref="N11:N13"/>
    <mergeCell ref="E15:E17"/>
    <mergeCell ref="F15:F17"/>
    <mergeCell ref="G15:G17"/>
    <mergeCell ref="E2:M3"/>
    <mergeCell ref="C5:C14"/>
    <mergeCell ref="D5:D14"/>
    <mergeCell ref="E5:J14"/>
    <mergeCell ref="K5:M16"/>
    <mergeCell ref="H15:H17"/>
    <mergeCell ref="I15:I17"/>
    <mergeCell ref="J15:J17"/>
  </mergeCells>
  <pageMargins left="0.314" right="0.314" top="0.11799999999999999" bottom="0.27500000000000002" header="0.157" footer="0.11799999999999999"/>
  <pageSetup scale="76" firstPageNumber="63" orientation="landscape" r:id="rId1"/>
  <headerFooter>
    <oddFooter>&amp;C&amp;P</oddFooter>
  </headerFooter>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D00-000000000000}">
  <dimension ref="A1:W84"/>
  <sheetViews>
    <sheetView view="pageBreakPreview" topLeftCell="M1" zoomScale="130" zoomScaleNormal="130" zoomScaleSheetLayoutView="130" workbookViewId="0">
      <selection activeCell="P11" sqref="P11:P15"/>
    </sheetView>
  </sheetViews>
  <sheetFormatPr defaultColWidth="8.85546875" defaultRowHeight="15"/>
  <cols>
    <col min="1" max="1" width="5.7109375" style="841" customWidth="1"/>
    <col min="2" max="2" width="39.85546875" style="841" customWidth="1"/>
    <col min="3" max="3" width="10.28515625" style="1" customWidth="1"/>
    <col min="4" max="4" width="11.42578125" style="1" customWidth="1"/>
    <col min="5" max="5" width="18.85546875" style="1" customWidth="1"/>
    <col min="6" max="6" width="11.42578125" style="1" customWidth="1"/>
    <col min="7" max="7" width="20.42578125" style="1" customWidth="1"/>
    <col min="8" max="8" width="15" style="1" customWidth="1"/>
    <col min="9" max="12" width="6.28515625" style="1" bestFit="1" customWidth="1"/>
    <col min="13" max="13" width="9.140625" style="1" customWidth="1"/>
    <col min="14" max="14" width="10.28515625" style="1" customWidth="1"/>
    <col min="15" max="15" width="5.7109375" style="841" customWidth="1"/>
    <col min="16" max="16" width="40.140625" style="841" customWidth="1"/>
    <col min="17" max="17" width="12.7109375" style="1" customWidth="1"/>
    <col min="18" max="18" width="6.42578125" style="1" bestFit="1" customWidth="1"/>
    <col min="19" max="19" width="7" style="841" customWidth="1"/>
    <col min="20" max="20" width="4.28515625" style="1" bestFit="1" customWidth="1"/>
    <col min="21" max="21" width="9.140625" style="769" customWidth="1"/>
    <col min="22" max="22" width="13" style="841" customWidth="1"/>
    <col min="23" max="23" width="24.85546875" style="841" customWidth="1"/>
  </cols>
  <sheetData>
    <row r="1" spans="1:23" ht="15.75">
      <c r="A1" s="1159" t="s">
        <v>2257</v>
      </c>
      <c r="B1" s="1159"/>
      <c r="C1" s="818"/>
      <c r="D1" s="818"/>
      <c r="E1" s="818"/>
      <c r="F1" s="818"/>
      <c r="G1" s="818"/>
      <c r="H1" s="818"/>
      <c r="I1" s="818"/>
      <c r="J1" s="818"/>
      <c r="K1" s="818"/>
      <c r="L1" s="818"/>
      <c r="M1" s="818"/>
      <c r="N1" s="818"/>
      <c r="O1" s="1159" t="s">
        <v>2257</v>
      </c>
      <c r="P1" s="1159"/>
      <c r="Q1" s="818"/>
      <c r="R1" s="818"/>
      <c r="S1" s="839"/>
      <c r="T1" s="1161"/>
      <c r="V1" s="839"/>
      <c r="W1" s="839"/>
    </row>
    <row r="2" spans="1:23" ht="15.75">
      <c r="A2" s="1159"/>
      <c r="B2" s="959" t="s">
        <v>2258</v>
      </c>
      <c r="C2" s="819"/>
      <c r="D2" s="819"/>
      <c r="E2" s="819"/>
      <c r="F2" s="819"/>
      <c r="G2" s="819"/>
      <c r="H2" s="819"/>
      <c r="I2" s="819"/>
      <c r="J2" s="819"/>
      <c r="K2" s="819"/>
      <c r="L2" s="819"/>
      <c r="M2" s="825"/>
      <c r="N2" s="825"/>
      <c r="O2" s="1159"/>
      <c r="P2" s="959" t="s">
        <v>2258</v>
      </c>
      <c r="Q2" s="819"/>
      <c r="R2" s="819"/>
      <c r="S2" s="840"/>
      <c r="T2" s="1161"/>
      <c r="V2" s="840"/>
      <c r="W2" s="840"/>
    </row>
    <row r="3" spans="1:23">
      <c r="M3" s="830"/>
      <c r="N3" s="830"/>
    </row>
    <row r="4" spans="1:23" ht="13.5" customHeight="1">
      <c r="A4" s="1237">
        <v>15.01</v>
      </c>
      <c r="B4" s="1238"/>
      <c r="C4" s="1239">
        <f>A4+0.01</f>
        <v>15.02</v>
      </c>
      <c r="D4" s="1239">
        <f t="shared" ref="D4:I4" si="0">C4+0.01</f>
        <v>15.03</v>
      </c>
      <c r="E4" s="1239">
        <f t="shared" si="0"/>
        <v>15.04</v>
      </c>
      <c r="F4" s="1239">
        <f t="shared" si="0"/>
        <v>15.049999999999999</v>
      </c>
      <c r="G4" s="1239">
        <f t="shared" si="0"/>
        <v>15.059999999999999</v>
      </c>
      <c r="H4" s="1239">
        <f t="shared" si="0"/>
        <v>15.069999999999999</v>
      </c>
      <c r="I4" s="2837">
        <f t="shared" si="0"/>
        <v>15.079999999999998</v>
      </c>
      <c r="J4" s="2838"/>
      <c r="K4" s="2838"/>
      <c r="L4" s="1835"/>
      <c r="M4" s="2835">
        <f>H4+0.01</f>
        <v>15.079999999999998</v>
      </c>
      <c r="N4" s="2836"/>
      <c r="O4" s="946">
        <v>15.01</v>
      </c>
      <c r="P4" s="946"/>
      <c r="Q4" s="1239">
        <f>I4+0.01</f>
        <v>15.089999999999998</v>
      </c>
      <c r="R4" s="994">
        <f>Q4+0.01</f>
        <v>15.099999999999998</v>
      </c>
      <c r="S4" s="1240"/>
      <c r="T4" s="2838">
        <f>R4+0.01</f>
        <v>15.109999999999998</v>
      </c>
      <c r="U4" s="2839"/>
      <c r="V4" s="1239">
        <f>T4+0.01</f>
        <v>15.119999999999997</v>
      </c>
      <c r="W4" s="1835">
        <f>V4+0.01</f>
        <v>15.129999999999997</v>
      </c>
    </row>
    <row r="5" spans="1:23" ht="12.75" customHeight="1">
      <c r="A5" s="2477" t="s">
        <v>2259</v>
      </c>
      <c r="B5" s="1623"/>
      <c r="C5" s="2199" t="s">
        <v>2260</v>
      </c>
      <c r="D5" s="2199" t="s">
        <v>2261</v>
      </c>
      <c r="E5" s="2199" t="s">
        <v>2262</v>
      </c>
      <c r="F5" s="2199" t="s">
        <v>2263</v>
      </c>
      <c r="G5" s="2199" t="s">
        <v>2264</v>
      </c>
      <c r="H5" s="2199" t="s">
        <v>2265</v>
      </c>
      <c r="I5" s="2236" t="s">
        <v>2266</v>
      </c>
      <c r="J5" s="2238"/>
      <c r="K5" s="2238"/>
      <c r="L5" s="2727"/>
      <c r="M5" s="2830" t="s">
        <v>2267</v>
      </c>
      <c r="O5" s="2840" t="s">
        <v>2259</v>
      </c>
      <c r="P5" s="1623"/>
      <c r="Q5" s="2199" t="s">
        <v>2268</v>
      </c>
      <c r="R5" s="2820" t="s">
        <v>2269</v>
      </c>
      <c r="S5" s="2821"/>
      <c r="T5" s="2820" t="s">
        <v>2270</v>
      </c>
      <c r="U5" s="2821"/>
      <c r="V5" s="2825" t="s">
        <v>2271</v>
      </c>
      <c r="W5" s="2826" t="s">
        <v>2272</v>
      </c>
    </row>
    <row r="6" spans="1:23" ht="12.75" customHeight="1">
      <c r="A6" s="2478"/>
      <c r="B6" s="1623"/>
      <c r="C6" s="2199"/>
      <c r="D6" s="2199"/>
      <c r="E6" s="2199"/>
      <c r="F6" s="2199"/>
      <c r="G6" s="2199"/>
      <c r="H6" s="2199"/>
      <c r="I6" s="2236"/>
      <c r="J6" s="2238"/>
      <c r="K6" s="2238"/>
      <c r="L6" s="2727"/>
      <c r="M6" s="2830"/>
      <c r="O6" s="2841"/>
      <c r="P6" s="1623"/>
      <c r="Q6" s="2199"/>
      <c r="R6" s="2820"/>
      <c r="S6" s="2821"/>
      <c r="T6" s="2820"/>
      <c r="U6" s="2821"/>
      <c r="V6" s="2825"/>
      <c r="W6" s="2826"/>
    </row>
    <row r="7" spans="1:23" ht="12.75" customHeight="1">
      <c r="A7" s="2478"/>
      <c r="B7" s="1623"/>
      <c r="C7" s="2199"/>
      <c r="D7" s="2199"/>
      <c r="E7" s="2199"/>
      <c r="F7" s="2199"/>
      <c r="G7" s="2199"/>
      <c r="H7" s="2199"/>
      <c r="I7" s="2236"/>
      <c r="J7" s="2238"/>
      <c r="K7" s="2238"/>
      <c r="L7" s="2727"/>
      <c r="M7" s="2830"/>
      <c r="O7" s="2841"/>
      <c r="P7" s="1623"/>
      <c r="Q7" s="2199"/>
      <c r="R7" s="2820"/>
      <c r="S7" s="2821"/>
      <c r="T7" s="2820"/>
      <c r="U7" s="2821"/>
      <c r="V7" s="2825"/>
      <c r="W7" s="2826"/>
    </row>
    <row r="8" spans="1:23" ht="12.75" customHeight="1">
      <c r="A8" s="2478"/>
      <c r="B8" s="1623"/>
      <c r="C8" s="2199"/>
      <c r="D8" s="2199"/>
      <c r="E8" s="2199"/>
      <c r="F8" s="2199"/>
      <c r="G8" s="2199"/>
      <c r="H8" s="2199"/>
      <c r="I8" s="2236"/>
      <c r="J8" s="2238"/>
      <c r="K8" s="2238"/>
      <c r="L8" s="2727"/>
      <c r="M8" s="2830"/>
      <c r="O8" s="2841"/>
      <c r="P8" s="1623"/>
      <c r="Q8" s="2199"/>
      <c r="R8" s="2820"/>
      <c r="S8" s="2821"/>
      <c r="T8" s="2820"/>
      <c r="U8" s="2821"/>
      <c r="V8" s="2825"/>
      <c r="W8" s="2826"/>
    </row>
    <row r="9" spans="1:23">
      <c r="A9" s="2478"/>
      <c r="B9" s="1623"/>
      <c r="C9" s="2199"/>
      <c r="D9" s="2199"/>
      <c r="E9" s="2199"/>
      <c r="F9" s="2199"/>
      <c r="G9" s="2199"/>
      <c r="H9" s="2199"/>
      <c r="I9" s="1443"/>
      <c r="J9" s="953"/>
      <c r="K9" s="953"/>
      <c r="L9" s="1448"/>
      <c r="M9" s="2830"/>
      <c r="O9" s="2841"/>
      <c r="P9" s="1623"/>
      <c r="Q9" s="2199"/>
      <c r="R9" s="2820"/>
      <c r="S9" s="2821"/>
      <c r="T9" s="2820"/>
      <c r="U9" s="2821"/>
      <c r="V9" s="2825"/>
      <c r="W9" s="2826"/>
    </row>
    <row r="10" spans="1:23" ht="15.75" customHeight="1">
      <c r="A10" s="2478"/>
      <c r="B10" s="1623"/>
      <c r="C10" s="2199"/>
      <c r="D10" s="2199"/>
      <c r="E10" s="2199"/>
      <c r="F10" s="2199"/>
      <c r="G10" s="2199"/>
      <c r="H10" s="2199"/>
      <c r="I10" s="2232" t="s">
        <v>2273</v>
      </c>
      <c r="J10" s="2301"/>
      <c r="K10" s="2301"/>
      <c r="L10" s="2302"/>
      <c r="M10" s="2830"/>
      <c r="O10" s="2841"/>
      <c r="P10" s="1623"/>
      <c r="Q10" s="2199"/>
      <c r="R10" s="2820"/>
      <c r="S10" s="2821"/>
      <c r="T10" s="2820"/>
      <c r="U10" s="2821"/>
      <c r="V10" s="2825"/>
      <c r="W10" s="2826"/>
    </row>
    <row r="11" spans="1:23" ht="15.75" customHeight="1">
      <c r="A11" s="2478"/>
      <c r="B11" s="2824" t="s">
        <v>2274</v>
      </c>
      <c r="C11" s="2199"/>
      <c r="D11" s="2199"/>
      <c r="E11" s="2199" t="str">
        <f>CONCATENATE("1 Não elegível
2 Não sabe se é elegível
3 Não sabe como se inscrever
4 Elegível, mas o procedimento é muito restritivo
5 Elegível, mas não necessário
6 Candidatou-se nos últimos 12 meses
7 Não é necessário
8 Outra ")</f>
        <v xml:space="preserve">1 Não elegível
2 Não sabe se é elegível
3 Não sabe como se inscrever
4 Elegível, mas o procedimento é muito restritivo
5 Elegível, mas não necessário
6 Candidatou-se nos últimos 12 meses
7 Não é necessário
8 Outra </v>
      </c>
      <c r="F11" s="2199"/>
      <c r="G11" s="2199"/>
      <c r="H11" s="2199"/>
      <c r="I11" s="2232"/>
      <c r="J11" s="2301"/>
      <c r="K11" s="2301"/>
      <c r="L11" s="2302"/>
      <c r="M11" s="2830"/>
      <c r="O11" s="2841"/>
      <c r="P11" s="2824" t="s">
        <v>2275</v>
      </c>
      <c r="Q11" s="2199"/>
      <c r="R11" s="2820"/>
      <c r="S11" s="2821"/>
      <c r="T11" s="2820"/>
      <c r="U11" s="2821"/>
      <c r="V11" s="2825"/>
      <c r="W11" s="1454"/>
    </row>
    <row r="12" spans="1:23">
      <c r="A12" s="2478"/>
      <c r="B12" s="2824"/>
      <c r="C12" s="2199"/>
      <c r="D12" s="2199"/>
      <c r="E12" s="2199"/>
      <c r="F12" s="2199"/>
      <c r="G12" s="2199" t="s">
        <v>2276</v>
      </c>
      <c r="H12" s="2199"/>
      <c r="I12" s="2232"/>
      <c r="J12" s="2301"/>
      <c r="K12" s="2301"/>
      <c r="L12" s="2302"/>
      <c r="M12" s="2830"/>
      <c r="O12" s="2841"/>
      <c r="P12" s="2824"/>
      <c r="Q12" s="2199"/>
      <c r="R12" s="2820"/>
      <c r="S12" s="2821"/>
      <c r="T12" s="2820"/>
      <c r="U12" s="2821"/>
      <c r="V12" s="2825"/>
      <c r="W12" s="1454"/>
    </row>
    <row r="13" spans="1:23" ht="34.5" customHeight="1">
      <c r="A13" s="2478"/>
      <c r="B13" s="2824"/>
      <c r="C13" s="2199"/>
      <c r="D13" s="2199"/>
      <c r="E13" s="2199"/>
      <c r="F13" s="2199"/>
      <c r="G13" s="2199"/>
      <c r="H13" s="2199"/>
      <c r="I13" s="1443"/>
      <c r="J13" s="953"/>
      <c r="K13" s="953"/>
      <c r="L13" s="1448"/>
      <c r="M13" s="2830"/>
      <c r="O13" s="2841"/>
      <c r="P13" s="2824"/>
      <c r="Q13" s="2199"/>
      <c r="R13" s="2820"/>
      <c r="S13" s="2821"/>
      <c r="T13" s="2820"/>
      <c r="U13" s="2821"/>
      <c r="V13" s="2825"/>
      <c r="W13" s="1454"/>
    </row>
    <row r="14" spans="1:23" ht="27">
      <c r="A14" s="2478"/>
      <c r="B14" s="2824"/>
      <c r="C14" s="1839"/>
      <c r="D14" s="1839"/>
      <c r="E14" s="2199"/>
      <c r="F14" s="1839"/>
      <c r="G14" s="2199"/>
      <c r="H14" s="1839"/>
      <c r="I14" s="1840"/>
      <c r="J14" s="1841"/>
      <c r="K14" s="1841"/>
      <c r="L14" s="1842"/>
      <c r="M14" s="2830"/>
      <c r="O14" s="2841"/>
      <c r="P14" s="2824"/>
      <c r="Q14" s="2199"/>
      <c r="R14" s="2818"/>
      <c r="S14" s="2819"/>
      <c r="T14" s="2820"/>
      <c r="U14" s="2821"/>
      <c r="V14" s="1455" t="s">
        <v>106</v>
      </c>
      <c r="W14" s="1038" t="s">
        <v>2277</v>
      </c>
    </row>
    <row r="15" spans="1:23" ht="13.5" customHeight="1">
      <c r="A15" s="2478"/>
      <c r="B15" s="2824"/>
      <c r="C15" s="767"/>
      <c r="D15" s="767"/>
      <c r="E15" s="2199"/>
      <c r="F15" s="767"/>
      <c r="G15" s="2199"/>
      <c r="H15" s="767"/>
      <c r="I15" s="688"/>
      <c r="J15" s="41"/>
      <c r="K15" s="41"/>
      <c r="L15" s="972"/>
      <c r="M15" s="2830"/>
      <c r="O15" s="2841"/>
      <c r="P15" s="2824"/>
      <c r="Q15" s="2199"/>
      <c r="R15" s="1241"/>
      <c r="S15" s="1242"/>
      <c r="T15" s="2820"/>
      <c r="U15" s="2821"/>
      <c r="V15" s="2825" t="s">
        <v>2278</v>
      </c>
      <c r="W15" s="1843" t="s">
        <v>2279</v>
      </c>
    </row>
    <row r="16" spans="1:23" ht="15.95" customHeight="1">
      <c r="A16" s="2478"/>
      <c r="B16" s="1623"/>
      <c r="C16" s="767" t="s">
        <v>106</v>
      </c>
      <c r="D16" s="767" t="str">
        <f>CONCATENATE("1 Sim ►(",TEXT(F4,"0,00"),")")</f>
        <v>1 Sim ►(15,05)</v>
      </c>
      <c r="E16" s="2199"/>
      <c r="F16" s="767" t="str">
        <f>CONCATENATE("1 Sim ►(",TEXT(H4,"0,00"),")")</f>
        <v>1 Sim ►(15,07)</v>
      </c>
      <c r="G16" s="2199"/>
      <c r="H16" s="767" t="str">
        <f>CONCATENATE("1 Agregado ►","(",TEXT(Q4,"0,00"),")")</f>
        <v>1 Agregado ►(15,09)</v>
      </c>
      <c r="I16" s="688"/>
      <c r="J16" s="41"/>
      <c r="K16" s="41"/>
      <c r="L16" s="972"/>
      <c r="M16" s="2830"/>
      <c r="O16" s="2841"/>
      <c r="P16" s="1623"/>
      <c r="Q16" s="767"/>
      <c r="R16" s="2818" t="s">
        <v>2280</v>
      </c>
      <c r="S16" s="2819"/>
      <c r="T16" s="2820"/>
      <c r="U16" s="2821"/>
      <c r="V16" s="2825"/>
      <c r="W16" s="1843" t="s">
        <v>2281</v>
      </c>
    </row>
    <row r="17" spans="1:23" ht="15" customHeight="1">
      <c r="A17" s="2478"/>
      <c r="B17" s="2833"/>
      <c r="C17" s="2199" t="s">
        <v>2282</v>
      </c>
      <c r="D17" s="859" t="s">
        <v>267</v>
      </c>
      <c r="E17" s="2199"/>
      <c r="F17" s="2199" t="s">
        <v>581</v>
      </c>
      <c r="G17" s="2199"/>
      <c r="H17" s="767" t="s">
        <v>2283</v>
      </c>
      <c r="I17" s="688"/>
      <c r="J17" s="41"/>
      <c r="K17" s="41"/>
      <c r="L17" s="972"/>
      <c r="M17" s="2830"/>
      <c r="O17" s="2841"/>
      <c r="P17" s="2833"/>
      <c r="Q17" s="767"/>
      <c r="R17" s="1241">
        <v>1</v>
      </c>
      <c r="S17" s="1242" t="s">
        <v>160</v>
      </c>
      <c r="T17" s="2820"/>
      <c r="U17" s="2821"/>
      <c r="V17" s="1243"/>
      <c r="W17" s="1843" t="s">
        <v>2284</v>
      </c>
    </row>
    <row r="18" spans="1:23" ht="13.5" customHeight="1">
      <c r="A18" s="2478"/>
      <c r="B18" s="2833"/>
      <c r="C18" s="2199"/>
      <c r="D18" s="859"/>
      <c r="E18" s="2199"/>
      <c r="F18" s="2199"/>
      <c r="G18" s="2199"/>
      <c r="H18" s="767"/>
      <c r="I18" s="688"/>
      <c r="J18" s="41"/>
      <c r="K18" s="41"/>
      <c r="L18" s="972"/>
      <c r="M18" s="2830"/>
      <c r="O18" s="2841"/>
      <c r="P18" s="2833"/>
      <c r="Q18" s="767"/>
      <c r="R18" s="1241">
        <v>2</v>
      </c>
      <c r="S18" s="1242" t="s">
        <v>159</v>
      </c>
      <c r="T18" s="953"/>
      <c r="U18" s="1479"/>
      <c r="V18" s="1243"/>
      <c r="W18" s="1843" t="s">
        <v>2285</v>
      </c>
    </row>
    <row r="19" spans="1:23" ht="15.75">
      <c r="A19" s="2478"/>
      <c r="B19" s="2833"/>
      <c r="C19" s="767"/>
      <c r="D19" s="767"/>
      <c r="E19" s="2199"/>
      <c r="F19" s="767"/>
      <c r="G19" s="2199"/>
      <c r="H19" s="767"/>
      <c r="I19" s="923"/>
      <c r="J19" s="810"/>
      <c r="K19" s="810"/>
      <c r="L19" s="1011"/>
      <c r="M19" s="2831"/>
      <c r="O19" s="2841"/>
      <c r="P19" s="2833"/>
      <c r="Q19" s="767"/>
      <c r="R19" s="688"/>
      <c r="S19" s="1244"/>
      <c r="T19" s="41"/>
      <c r="U19" s="1479"/>
      <c r="V19" s="1245"/>
      <c r="W19" s="1836"/>
    </row>
    <row r="20" spans="1:23" ht="35.25" customHeight="1">
      <c r="A20" s="2478"/>
      <c r="B20" s="2833"/>
      <c r="C20" s="767"/>
      <c r="D20" s="767"/>
      <c r="E20" s="2199"/>
      <c r="F20" s="767"/>
      <c r="G20" s="2199"/>
      <c r="H20" s="767"/>
      <c r="I20" s="2827" t="s">
        <v>2286</v>
      </c>
      <c r="J20" s="2827" t="s">
        <v>2287</v>
      </c>
      <c r="K20" s="2827" t="s">
        <v>2288</v>
      </c>
      <c r="L20" s="2151" t="s">
        <v>2289</v>
      </c>
      <c r="M20" s="2832" t="s">
        <v>2286</v>
      </c>
      <c r="N20" s="2832" t="s">
        <v>2287</v>
      </c>
      <c r="O20" s="2841"/>
      <c r="P20" s="2833"/>
      <c r="Q20" s="1246"/>
      <c r="R20" s="1247"/>
      <c r="S20" s="1244"/>
      <c r="T20" s="1175"/>
      <c r="U20" s="1248"/>
      <c r="V20" s="1245"/>
      <c r="W20" s="1836"/>
    </row>
    <row r="21" spans="1:23" ht="24.75" customHeight="1">
      <c r="A21" s="2478"/>
      <c r="B21" s="2834"/>
      <c r="C21" s="1436"/>
      <c r="D21" s="1436"/>
      <c r="E21" s="1436"/>
      <c r="F21" s="1436"/>
      <c r="G21" s="1436" t="s">
        <v>2290</v>
      </c>
      <c r="H21" s="1436"/>
      <c r="I21" s="2828"/>
      <c r="J21" s="2828"/>
      <c r="K21" s="2828"/>
      <c r="L21" s="2829"/>
      <c r="M21" s="2832"/>
      <c r="N21" s="2832"/>
      <c r="O21" s="2841"/>
      <c r="P21" s="2834"/>
      <c r="Q21" s="1054"/>
      <c r="R21" s="1249"/>
      <c r="S21" s="2822" t="s">
        <v>2280</v>
      </c>
      <c r="T21" s="1250"/>
      <c r="U21" s="1251"/>
      <c r="V21" s="1252"/>
      <c r="W21" s="1837"/>
    </row>
    <row r="22" spans="1:23" ht="14.25" thickBot="1">
      <c r="A22" s="2479"/>
      <c r="B22" s="1844"/>
      <c r="C22" s="808" t="s">
        <v>420</v>
      </c>
      <c r="D22" s="808" t="s">
        <v>420</v>
      </c>
      <c r="E22" s="808" t="s">
        <v>420</v>
      </c>
      <c r="F22" s="808" t="s">
        <v>420</v>
      </c>
      <c r="G22" s="808" t="s">
        <v>420</v>
      </c>
      <c r="H22" s="808" t="s">
        <v>420</v>
      </c>
      <c r="I22" s="808" t="s">
        <v>1106</v>
      </c>
      <c r="J22" s="808" t="s">
        <v>1106</v>
      </c>
      <c r="K22" s="808" t="s">
        <v>1106</v>
      </c>
      <c r="L22" s="808" t="s">
        <v>1106</v>
      </c>
      <c r="M22" s="808" t="s">
        <v>1106</v>
      </c>
      <c r="N22" s="808" t="s">
        <v>1106</v>
      </c>
      <c r="O22" s="2842"/>
      <c r="P22" s="1844"/>
      <c r="Q22" s="1253" t="s">
        <v>426</v>
      </c>
      <c r="R22" s="1254" t="s">
        <v>426</v>
      </c>
      <c r="S22" s="2823"/>
      <c r="T22" s="1255" t="s">
        <v>421</v>
      </c>
      <c r="U22" s="1256" t="s">
        <v>424</v>
      </c>
      <c r="V22" s="1257" t="s">
        <v>420</v>
      </c>
      <c r="W22" s="1838" t="s">
        <v>420</v>
      </c>
    </row>
    <row r="23" spans="1:23" ht="28.7" customHeight="1" thickTop="1">
      <c r="A23" s="1628" t="s">
        <v>775</v>
      </c>
      <c r="B23" s="1845" t="s">
        <v>2291</v>
      </c>
      <c r="C23" s="1846"/>
      <c r="D23" s="1846"/>
      <c r="E23" s="1846"/>
      <c r="F23" s="1846"/>
      <c r="G23" s="1846"/>
      <c r="H23" s="1846"/>
      <c r="I23" s="1846"/>
      <c r="J23" s="1846"/>
      <c r="K23" s="1846"/>
      <c r="L23" s="1846"/>
      <c r="M23" s="1846"/>
      <c r="N23" s="1846"/>
      <c r="O23" s="1628" t="s">
        <v>775</v>
      </c>
      <c r="P23" s="1845" t="s">
        <v>2291</v>
      </c>
      <c r="Q23" s="1847"/>
      <c r="R23" s="1846"/>
      <c r="S23" s="1846"/>
      <c r="T23" s="1848"/>
      <c r="U23" s="1479"/>
      <c r="V23" s="1848"/>
      <c r="W23" s="1848"/>
    </row>
    <row r="24" spans="1:23" ht="28.7" customHeight="1">
      <c r="A24" s="1582">
        <f>A23+1</f>
        <v>2</v>
      </c>
      <c r="B24" s="1849" t="s">
        <v>2292</v>
      </c>
      <c r="C24" s="1850"/>
      <c r="D24" s="1850"/>
      <c r="E24" s="1850"/>
      <c r="F24" s="1850"/>
      <c r="G24" s="1850"/>
      <c r="H24" s="1850"/>
      <c r="I24" s="1850"/>
      <c r="J24" s="1850"/>
      <c r="K24" s="1850"/>
      <c r="L24" s="1850"/>
      <c r="M24" s="1850"/>
      <c r="N24" s="1850"/>
      <c r="O24" s="1582">
        <f>O23+1</f>
        <v>2</v>
      </c>
      <c r="P24" s="1849" t="s">
        <v>2292</v>
      </c>
      <c r="Q24" s="1851"/>
      <c r="R24" s="1535"/>
      <c r="S24" s="1535"/>
      <c r="T24" s="1852"/>
      <c r="U24" s="770"/>
      <c r="V24" s="1852"/>
      <c r="W24" s="1852"/>
    </row>
    <row r="25" spans="1:23" ht="28.7" customHeight="1">
      <c r="A25" s="1582">
        <f t="shared" ref="A25:A30" si="1">A24+1</f>
        <v>3</v>
      </c>
      <c r="B25" s="1849" t="s">
        <v>2293</v>
      </c>
      <c r="C25" s="1850"/>
      <c r="D25" s="1850"/>
      <c r="E25" s="1850"/>
      <c r="F25" s="1850"/>
      <c r="G25" s="1850"/>
      <c r="H25" s="1850"/>
      <c r="I25" s="1850"/>
      <c r="J25" s="1850"/>
      <c r="K25" s="1850"/>
      <c r="L25" s="1850"/>
      <c r="M25" s="1850"/>
      <c r="N25" s="1850"/>
      <c r="O25" s="1582">
        <f t="shared" ref="O25:O30" si="2">O24+1</f>
        <v>3</v>
      </c>
      <c r="P25" s="1849" t="s">
        <v>2293</v>
      </c>
      <c r="Q25" s="1850"/>
      <c r="R25" s="1850"/>
      <c r="S25" s="1850"/>
      <c r="T25" s="1850"/>
      <c r="U25" s="770"/>
      <c r="V25" s="1850"/>
      <c r="W25" s="1850"/>
    </row>
    <row r="26" spans="1:23" ht="28.7" customHeight="1">
      <c r="A26" s="1582">
        <f t="shared" si="1"/>
        <v>4</v>
      </c>
      <c r="B26" s="1849" t="s">
        <v>2294</v>
      </c>
      <c r="C26" s="1535"/>
      <c r="D26" s="1535"/>
      <c r="E26" s="1535"/>
      <c r="F26" s="1535"/>
      <c r="G26" s="1535"/>
      <c r="H26" s="1535"/>
      <c r="I26" s="1535"/>
      <c r="J26" s="1535"/>
      <c r="K26" s="1535"/>
      <c r="L26" s="1535"/>
      <c r="M26" s="1846"/>
      <c r="N26" s="1846"/>
      <c r="O26" s="1582">
        <f t="shared" si="2"/>
        <v>4</v>
      </c>
      <c r="P26" s="1849" t="s">
        <v>2294</v>
      </c>
      <c r="Q26" s="1535"/>
      <c r="R26" s="1535"/>
      <c r="S26" s="1535"/>
      <c r="T26" s="1535"/>
      <c r="U26" s="770"/>
      <c r="V26" s="1535"/>
      <c r="W26" s="1535"/>
    </row>
    <row r="27" spans="1:23" ht="28.7" customHeight="1">
      <c r="A27" s="1582">
        <f t="shared" si="1"/>
        <v>5</v>
      </c>
      <c r="B27" s="1849" t="s">
        <v>2295</v>
      </c>
      <c r="C27" s="1846"/>
      <c r="D27" s="1846"/>
      <c r="E27" s="1846"/>
      <c r="F27" s="1846"/>
      <c r="G27" s="1846"/>
      <c r="H27" s="1846"/>
      <c r="I27" s="1846"/>
      <c r="J27" s="1846"/>
      <c r="K27" s="1846"/>
      <c r="L27" s="1846"/>
      <c r="M27" s="1850"/>
      <c r="N27" s="1850"/>
      <c r="O27" s="1582">
        <f t="shared" si="2"/>
        <v>5</v>
      </c>
      <c r="P27" s="1849" t="s">
        <v>2295</v>
      </c>
      <c r="Q27" s="1846"/>
      <c r="R27" s="1846"/>
      <c r="S27" s="1846"/>
      <c r="T27" s="1846"/>
      <c r="U27" s="770"/>
      <c r="V27" s="1846"/>
      <c r="W27" s="1846"/>
    </row>
    <row r="28" spans="1:23" ht="28.7" customHeight="1">
      <c r="A28" s="1582">
        <f t="shared" si="1"/>
        <v>6</v>
      </c>
      <c r="B28" s="1853" t="s">
        <v>2296</v>
      </c>
      <c r="C28" s="1850"/>
      <c r="D28" s="1850"/>
      <c r="E28" s="1850"/>
      <c r="F28" s="1850"/>
      <c r="G28" s="1850"/>
      <c r="H28" s="1850"/>
      <c r="I28" s="1850"/>
      <c r="J28" s="1850"/>
      <c r="K28" s="1850"/>
      <c r="L28" s="1850"/>
      <c r="M28" s="1850"/>
      <c r="N28" s="1850"/>
      <c r="O28" s="1582">
        <f t="shared" si="2"/>
        <v>6</v>
      </c>
      <c r="P28" s="1853" t="s">
        <v>2296</v>
      </c>
      <c r="Q28" s="1850"/>
      <c r="R28" s="1850"/>
      <c r="S28" s="1850"/>
      <c r="T28" s="1850"/>
      <c r="U28" s="770"/>
      <c r="V28" s="1850"/>
      <c r="W28" s="1850"/>
    </row>
    <row r="29" spans="1:23" s="21" customFormat="1" ht="28.7" customHeight="1">
      <c r="A29" s="1582">
        <f t="shared" si="1"/>
        <v>7</v>
      </c>
      <c r="B29" s="1849" t="s">
        <v>2297</v>
      </c>
      <c r="C29" s="1850"/>
      <c r="D29" s="1850"/>
      <c r="E29" s="1850"/>
      <c r="F29" s="1850"/>
      <c r="G29" s="1850"/>
      <c r="H29" s="1850"/>
      <c r="I29" s="1850"/>
      <c r="J29" s="1850"/>
      <c r="K29" s="1850"/>
      <c r="L29" s="1850"/>
      <c r="M29" s="1846"/>
      <c r="N29" s="1846"/>
      <c r="O29" s="1582">
        <f t="shared" si="2"/>
        <v>7</v>
      </c>
      <c r="P29" s="1849" t="s">
        <v>2297</v>
      </c>
      <c r="Q29" s="1850"/>
      <c r="R29" s="1850"/>
      <c r="S29" s="1850"/>
      <c r="T29" s="1850"/>
      <c r="U29" s="770"/>
      <c r="V29" s="1850"/>
      <c r="W29" s="1850"/>
    </row>
    <row r="30" spans="1:23" ht="28.7" customHeight="1">
      <c r="A30" s="1582">
        <f t="shared" si="1"/>
        <v>8</v>
      </c>
      <c r="B30" s="1849" t="s">
        <v>2298</v>
      </c>
      <c r="C30" s="1535"/>
      <c r="D30" s="1535"/>
      <c r="E30" s="1535"/>
      <c r="F30" s="1535"/>
      <c r="G30" s="1535"/>
      <c r="H30" s="1535"/>
      <c r="I30" s="1535"/>
      <c r="J30" s="1535"/>
      <c r="K30" s="1535"/>
      <c r="L30" s="1535"/>
      <c r="M30" s="1850"/>
      <c r="N30" s="1850"/>
      <c r="O30" s="1582">
        <f t="shared" si="2"/>
        <v>8</v>
      </c>
      <c r="P30" s="1849" t="s">
        <v>2298</v>
      </c>
      <c r="Q30" s="1535"/>
      <c r="R30" s="1535"/>
      <c r="S30" s="1535"/>
      <c r="T30" s="1535"/>
      <c r="U30" s="770"/>
      <c r="V30" s="1535"/>
      <c r="W30" s="1535"/>
    </row>
    <row r="31" spans="1:23" ht="28.7" customHeight="1">
      <c r="A31" s="1582">
        <f>A30+1</f>
        <v>9</v>
      </c>
      <c r="B31" s="1849" t="s">
        <v>2299</v>
      </c>
      <c r="C31" s="1535"/>
      <c r="D31" s="1535"/>
      <c r="E31" s="1535"/>
      <c r="F31" s="1535"/>
      <c r="G31" s="1535"/>
      <c r="H31" s="1535"/>
      <c r="I31" s="1535"/>
      <c r="J31" s="1535"/>
      <c r="K31" s="1535"/>
      <c r="L31" s="1535"/>
      <c r="M31" s="1850"/>
      <c r="N31" s="1850"/>
      <c r="O31" s="1582">
        <f>O30+1</f>
        <v>9</v>
      </c>
      <c r="P31" s="1849" t="s">
        <v>2299</v>
      </c>
      <c r="Q31" s="1535"/>
      <c r="R31" s="1535"/>
      <c r="S31" s="1535"/>
      <c r="T31" s="1535"/>
      <c r="U31" s="770"/>
      <c r="V31" s="1535"/>
      <c r="W31" s="1535"/>
    </row>
    <row r="32" spans="1:23" ht="28.7" customHeight="1">
      <c r="A32" s="1582">
        <v>10</v>
      </c>
      <c r="B32" s="1849" t="s">
        <v>2300</v>
      </c>
      <c r="C32" s="1535"/>
      <c r="D32" s="1535"/>
      <c r="E32" s="1535"/>
      <c r="F32" s="1535"/>
      <c r="G32" s="1535"/>
      <c r="H32" s="1535"/>
      <c r="I32" s="1535"/>
      <c r="J32" s="1535"/>
      <c r="K32" s="1535"/>
      <c r="L32" s="1535"/>
      <c r="M32" s="1846"/>
      <c r="N32" s="1846"/>
      <c r="O32" s="1582">
        <v>10</v>
      </c>
      <c r="P32" s="1849" t="s">
        <v>2300</v>
      </c>
      <c r="Q32" s="1535"/>
      <c r="R32" s="1535"/>
      <c r="S32" s="1535"/>
      <c r="T32" s="1535"/>
      <c r="U32" s="770"/>
      <c r="V32" s="1535"/>
      <c r="W32" s="1535"/>
    </row>
    <row r="33" spans="1:23" ht="28.7" customHeight="1">
      <c r="A33" s="1856">
        <v>11</v>
      </c>
      <c r="B33" s="1855" t="s">
        <v>2301</v>
      </c>
      <c r="C33" s="1535"/>
      <c r="D33" s="1535"/>
      <c r="E33" s="1535"/>
      <c r="F33" s="1535"/>
      <c r="G33" s="1535"/>
      <c r="H33" s="1535"/>
      <c r="I33" s="1535"/>
      <c r="J33" s="1535"/>
      <c r="K33" s="1535"/>
      <c r="L33" s="1535"/>
      <c r="M33" s="1850"/>
      <c r="N33" s="1850"/>
      <c r="O33" s="1582">
        <v>11</v>
      </c>
      <c r="P33" s="1853" t="s">
        <v>2301</v>
      </c>
      <c r="Q33" s="1535"/>
      <c r="R33" s="1535"/>
      <c r="S33" s="1535"/>
      <c r="T33" s="1535"/>
      <c r="U33" s="770"/>
      <c r="V33" s="1535"/>
      <c r="W33" s="1535"/>
    </row>
    <row r="34" spans="1:23">
      <c r="M34" s="1854"/>
      <c r="N34" s="1115"/>
    </row>
    <row r="35" spans="1:23">
      <c r="B35" s="1845"/>
      <c r="P35" s="1845"/>
    </row>
    <row r="47" spans="1:23" ht="15.75">
      <c r="M47" s="837"/>
      <c r="N47" s="837"/>
    </row>
    <row r="48" spans="1:23" ht="15.75">
      <c r="M48" s="837"/>
      <c r="N48" s="837"/>
    </row>
    <row r="49" spans="13:14" ht="15.75">
      <c r="M49" s="837"/>
      <c r="N49" s="837"/>
    </row>
    <row r="50" spans="13:14" ht="15.75">
      <c r="M50" s="837"/>
      <c r="N50" s="837"/>
    </row>
    <row r="51" spans="13:14" ht="15.75">
      <c r="M51" s="837"/>
      <c r="N51" s="837"/>
    </row>
    <row r="52" spans="13:14" ht="15.75">
      <c r="M52" s="837"/>
      <c r="N52" s="837"/>
    </row>
    <row r="53" spans="13:14" ht="15.75">
      <c r="M53" s="837"/>
      <c r="N53" s="837"/>
    </row>
    <row r="54" spans="13:14" ht="15.75">
      <c r="M54" s="837"/>
      <c r="N54" s="837"/>
    </row>
    <row r="55" spans="13:14" ht="15.75">
      <c r="M55" s="837"/>
      <c r="N55" s="837"/>
    </row>
    <row r="56" spans="13:14" ht="15.75">
      <c r="M56" s="837"/>
      <c r="N56" s="837"/>
    </row>
    <row r="57" spans="13:14" ht="15.75">
      <c r="M57" s="837"/>
      <c r="N57" s="837"/>
    </row>
    <row r="58" spans="13:14" ht="15.75">
      <c r="M58" s="837"/>
      <c r="N58" s="837"/>
    </row>
    <row r="59" spans="13:14" ht="15.75">
      <c r="M59" s="837"/>
      <c r="N59" s="837"/>
    </row>
    <row r="60" spans="13:14" ht="15.75">
      <c r="M60" s="837"/>
      <c r="N60" s="837"/>
    </row>
    <row r="61" spans="13:14" ht="15.75">
      <c r="M61" s="837"/>
      <c r="N61" s="837"/>
    </row>
    <row r="62" spans="13:14" ht="15.75">
      <c r="M62" s="837"/>
      <c r="N62" s="837"/>
    </row>
    <row r="63" spans="13:14" ht="15.75">
      <c r="M63" s="837"/>
      <c r="N63" s="837"/>
    </row>
    <row r="64" spans="13:14" ht="15.75">
      <c r="M64" s="837"/>
      <c r="N64" s="837"/>
    </row>
    <row r="65" spans="13:14" ht="15.75">
      <c r="M65" s="837"/>
      <c r="N65" s="837"/>
    </row>
    <row r="66" spans="13:14" ht="15.75">
      <c r="M66" s="837"/>
      <c r="N66" s="837"/>
    </row>
    <row r="67" spans="13:14" ht="15.75">
      <c r="M67" s="837"/>
      <c r="N67" s="837"/>
    </row>
    <row r="68" spans="13:14" ht="15.75">
      <c r="M68" s="837"/>
      <c r="N68" s="837"/>
    </row>
    <row r="69" spans="13:14" ht="15.75">
      <c r="M69" s="837"/>
      <c r="N69" s="837"/>
    </row>
    <row r="70" spans="13:14" ht="15.75">
      <c r="M70" s="837"/>
      <c r="N70" s="837"/>
    </row>
    <row r="71" spans="13:14" ht="15.75">
      <c r="M71" s="837"/>
      <c r="N71" s="837"/>
    </row>
    <row r="72" spans="13:14" ht="15.75">
      <c r="M72" s="837"/>
      <c r="N72" s="837"/>
    </row>
    <row r="73" spans="13:14" ht="15.75">
      <c r="M73" s="837"/>
      <c r="N73" s="837"/>
    </row>
    <row r="74" spans="13:14" ht="15.75">
      <c r="M74" s="837"/>
      <c r="N74" s="837"/>
    </row>
    <row r="75" spans="13:14" ht="15.75">
      <c r="M75" s="837"/>
      <c r="N75" s="837"/>
    </row>
    <row r="76" spans="13:14" ht="15.75">
      <c r="M76" s="837"/>
      <c r="N76" s="837"/>
    </row>
    <row r="77" spans="13:14" ht="15.75">
      <c r="M77" s="837"/>
      <c r="N77" s="837"/>
    </row>
    <row r="78" spans="13:14" ht="15.75">
      <c r="M78" s="837"/>
      <c r="N78" s="837"/>
    </row>
    <row r="79" spans="13:14" ht="15.75">
      <c r="M79" s="837"/>
      <c r="N79" s="837"/>
    </row>
    <row r="80" spans="13:14" ht="15.75">
      <c r="M80" s="837"/>
      <c r="N80" s="837"/>
    </row>
    <row r="81" spans="13:14" ht="15.75">
      <c r="M81" s="837"/>
      <c r="N81" s="837"/>
    </row>
    <row r="82" spans="13:14" ht="15.75">
      <c r="M82" s="837"/>
      <c r="N82" s="837"/>
    </row>
    <row r="83" spans="13:14" ht="15.75">
      <c r="M83" s="837"/>
      <c r="N83" s="837"/>
    </row>
    <row r="84" spans="13:14" ht="15.75">
      <c r="M84" s="837"/>
      <c r="N84" s="837"/>
    </row>
  </sheetData>
  <mergeCells count="37">
    <mergeCell ref="M4:N4"/>
    <mergeCell ref="I4:K4"/>
    <mergeCell ref="T4:U4"/>
    <mergeCell ref="A5:A22"/>
    <mergeCell ref="C5:C13"/>
    <mergeCell ref="D5:D13"/>
    <mergeCell ref="E5:E10"/>
    <mergeCell ref="F5:F13"/>
    <mergeCell ref="G5:G11"/>
    <mergeCell ref="H5:H13"/>
    <mergeCell ref="I5:L8"/>
    <mergeCell ref="T5:U17"/>
    <mergeCell ref="B17:B21"/>
    <mergeCell ref="C17:C18"/>
    <mergeCell ref="F17:F18"/>
    <mergeCell ref="O5:O22"/>
    <mergeCell ref="I10:L12"/>
    <mergeCell ref="B11:B15"/>
    <mergeCell ref="V5:V13"/>
    <mergeCell ref="W5:W10"/>
    <mergeCell ref="V15:V16"/>
    <mergeCell ref="E11:E20"/>
    <mergeCell ref="G12:G20"/>
    <mergeCell ref="I20:I21"/>
    <mergeCell ref="J20:J21"/>
    <mergeCell ref="K20:K21"/>
    <mergeCell ref="L20:L21"/>
    <mergeCell ref="M5:M19"/>
    <mergeCell ref="M20:M21"/>
    <mergeCell ref="N20:N21"/>
    <mergeCell ref="P17:P21"/>
    <mergeCell ref="R14:S14"/>
    <mergeCell ref="R16:S16"/>
    <mergeCell ref="Q5:Q15"/>
    <mergeCell ref="R5:S13"/>
    <mergeCell ref="S21:S22"/>
    <mergeCell ref="P11:P15"/>
  </mergeCells>
  <pageMargins left="0.314" right="0.314" top="0.11799999999999999" bottom="0.27500000000000002" header="0.157" footer="0.11799999999999999"/>
  <pageSetup scale="76" firstPageNumber="64" orientation="landscape" r:id="rId1"/>
  <headerFooter>
    <oddFooter>&amp;C&amp;P</oddFooter>
  </headerFooter>
  <colBreaks count="1" manualBreakCount="1">
    <brk id="14" max="1048575" man="1"/>
  </colBreaks>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E00-000000000000}">
  <dimension ref="A1:ET34"/>
  <sheetViews>
    <sheetView view="pageBreakPreview" topLeftCell="EG5" zoomScaleNormal="100" zoomScaleSheetLayoutView="100" zoomScalePageLayoutView="110" workbookViewId="0">
      <selection activeCell="CC15" sqref="CC15"/>
    </sheetView>
  </sheetViews>
  <sheetFormatPr defaultColWidth="9.140625" defaultRowHeight="13.5"/>
  <cols>
    <col min="1" max="1" width="3.42578125" style="769" bestFit="1" customWidth="1"/>
    <col min="2" max="2" width="51.140625" style="769" customWidth="1"/>
    <col min="3" max="4" width="9.7109375" style="769" customWidth="1"/>
    <col min="5" max="5" width="9.5703125" style="769" customWidth="1"/>
    <col min="6" max="6" width="15.7109375" style="880" customWidth="1"/>
    <col min="7" max="7" width="11.28515625" style="880" customWidth="1"/>
    <col min="8" max="8" width="9.7109375" style="880" customWidth="1"/>
    <col min="9" max="9" width="16.42578125" style="880" customWidth="1"/>
    <col min="10" max="10" width="11.28515625" style="880" customWidth="1"/>
    <col min="11" max="11" width="18.7109375" style="880" customWidth="1"/>
    <col min="12" max="12" width="6.28515625" style="880" customWidth="1"/>
    <col min="13" max="13" width="15.85546875" style="880" customWidth="1"/>
    <col min="14" max="14" width="11.140625" style="880" customWidth="1"/>
    <col min="15" max="15" width="10.7109375" style="880" customWidth="1"/>
    <col min="16" max="16" width="15" style="880" customWidth="1"/>
    <col min="17" max="22" width="10.42578125" style="880" customWidth="1"/>
    <col min="23" max="24" width="12.5703125" style="880" customWidth="1"/>
    <col min="25" max="25" width="14.7109375" style="880" customWidth="1"/>
    <col min="26" max="26" width="10" style="880" customWidth="1"/>
    <col min="27" max="27" width="10.85546875" style="880" customWidth="1"/>
    <col min="28" max="28" width="8.85546875" style="880" customWidth="1"/>
    <col min="29" max="29" width="8.42578125" style="880" customWidth="1"/>
    <col min="30" max="30" width="12.28515625" style="769" customWidth="1"/>
    <col min="31" max="31" width="10.28515625" style="769" customWidth="1"/>
    <col min="32" max="32" width="7.7109375" style="769" bestFit="1" customWidth="1"/>
    <col min="33" max="33" width="5.42578125" style="769" bestFit="1" customWidth="1"/>
    <col min="34" max="34" width="12.140625" style="769" customWidth="1"/>
    <col min="35" max="35" width="8" style="769" customWidth="1"/>
    <col min="36" max="36" width="12" style="769" customWidth="1"/>
    <col min="37" max="37" width="9.28515625" style="769" customWidth="1"/>
    <col min="38" max="38" width="7.7109375" style="769" bestFit="1" customWidth="1"/>
    <col min="39" max="39" width="5.42578125" style="769" bestFit="1" customWidth="1"/>
    <col min="40" max="40" width="7.7109375" style="769" bestFit="1" customWidth="1"/>
    <col min="41" max="41" width="5.42578125" style="769" bestFit="1" customWidth="1"/>
    <col min="42" max="42" width="7.7109375" style="769" bestFit="1" customWidth="1"/>
    <col min="43" max="43" width="5.42578125" style="769" bestFit="1" customWidth="1"/>
    <col min="44" max="44" width="8.7109375" style="769" customWidth="1"/>
    <col min="45" max="45" width="5.42578125" style="769" bestFit="1" customWidth="1"/>
    <col min="46" max="54" width="14" style="769" customWidth="1"/>
    <col min="55" max="55" width="14" style="1558" customWidth="1"/>
    <col min="56" max="71" width="7.28515625" style="769" customWidth="1"/>
    <col min="72" max="72" width="14" style="1558" customWidth="1"/>
    <col min="73" max="88" width="7.28515625" style="769" customWidth="1"/>
    <col min="89" max="89" width="14" style="1558" customWidth="1"/>
    <col min="90" max="105" width="7.28515625" style="769" customWidth="1"/>
    <col min="106" max="106" width="13" style="1558" customWidth="1"/>
    <col min="107" max="108" width="7.28515625" style="769" customWidth="1"/>
    <col min="109" max="109" width="13.7109375" style="769" customWidth="1"/>
    <col min="110" max="111" width="7.28515625" style="769" customWidth="1"/>
    <col min="112" max="112" width="13.7109375" style="769" customWidth="1"/>
    <col min="113" max="114" width="7.28515625" style="769" customWidth="1"/>
    <col min="115" max="115" width="13.7109375" style="769" customWidth="1"/>
    <col min="116" max="117" width="7.28515625" style="769" customWidth="1"/>
    <col min="118" max="118" width="13.7109375" style="769" customWidth="1"/>
    <col min="119" max="119" width="14" style="1558" customWidth="1"/>
    <col min="120" max="121" width="7.28515625" style="769" customWidth="1"/>
    <col min="122" max="122" width="13.7109375" style="769" customWidth="1"/>
    <col min="123" max="124" width="7.28515625" style="769" customWidth="1"/>
    <col min="125" max="125" width="13.7109375" style="769" customWidth="1"/>
    <col min="126" max="127" width="7.28515625" style="769" customWidth="1"/>
    <col min="128" max="128" width="13.7109375" style="769" customWidth="1"/>
    <col min="129" max="130" width="7.28515625" style="769" customWidth="1"/>
    <col min="131" max="131" width="13.7109375" style="769" customWidth="1"/>
    <col min="132" max="132" width="12.42578125" style="1558" customWidth="1"/>
    <col min="133" max="134" width="7.28515625" style="769" customWidth="1"/>
    <col min="135" max="135" width="13.7109375" style="769" customWidth="1"/>
    <col min="136" max="137" width="7.28515625" style="769" customWidth="1"/>
    <col min="138" max="138" width="13.7109375" style="769" customWidth="1"/>
    <col min="139" max="140" width="7.28515625" style="769" customWidth="1"/>
    <col min="141" max="141" width="13.7109375" style="769" customWidth="1"/>
    <col min="142" max="143" width="7.28515625" style="769" customWidth="1"/>
    <col min="144" max="144" width="13.7109375" style="769" customWidth="1"/>
    <col min="145" max="145" width="13.85546875" style="769" customWidth="1"/>
    <col min="146" max="146" width="15.28515625" style="880" customWidth="1"/>
    <col min="147" max="148" width="19.5703125" style="880" customWidth="1"/>
    <col min="149" max="150" width="15.28515625" style="880" customWidth="1"/>
    <col min="151" max="16384" width="9.140625" style="271"/>
  </cols>
  <sheetData>
    <row r="1" spans="1:150" s="1998" customFormat="1" ht="24.75" customHeight="1">
      <c r="A1" s="1994"/>
      <c r="B1" s="1995" t="s">
        <v>2302</v>
      </c>
      <c r="C1" s="1995"/>
      <c r="D1" s="1995"/>
      <c r="E1" s="1994"/>
      <c r="F1" s="1996"/>
      <c r="G1" s="1996"/>
      <c r="H1" s="1996"/>
      <c r="I1" s="1996"/>
      <c r="J1" s="1996"/>
      <c r="K1" s="1996"/>
      <c r="L1" s="1996"/>
      <c r="M1" s="1996"/>
      <c r="N1" s="1996"/>
      <c r="O1" s="1996"/>
      <c r="P1" s="1996"/>
      <c r="Q1" s="1894" t="s">
        <v>2303</v>
      </c>
      <c r="R1" s="1996"/>
      <c r="S1" s="1996"/>
      <c r="T1" s="1996"/>
      <c r="U1" s="1996"/>
      <c r="V1" s="1996"/>
      <c r="W1" s="1996"/>
      <c r="X1" s="1996"/>
      <c r="Y1" s="1894" t="s">
        <v>2303</v>
      </c>
      <c r="Z1" s="1995"/>
      <c r="AA1" s="1995"/>
      <c r="AB1" s="1995"/>
      <c r="AC1" s="1996"/>
      <c r="AD1" s="1994"/>
      <c r="AE1" s="1994"/>
      <c r="AF1" s="1994"/>
      <c r="AG1" s="1994"/>
      <c r="AH1" s="1995"/>
      <c r="AI1" s="1995"/>
      <c r="AJ1" s="1995"/>
      <c r="AK1" s="1995"/>
      <c r="AL1" s="1994"/>
      <c r="AM1" s="1994"/>
      <c r="AN1" s="1994"/>
      <c r="AO1" s="1994"/>
      <c r="AP1" s="1894"/>
      <c r="AQ1" s="1994"/>
      <c r="AR1" s="1994"/>
      <c r="AS1" s="1994"/>
      <c r="AT1" s="2843" t="s">
        <v>2303</v>
      </c>
      <c r="AU1" s="2843"/>
      <c r="AV1" s="2843"/>
      <c r="AW1" s="2843"/>
      <c r="AX1" s="1994"/>
      <c r="AY1" s="1994"/>
      <c r="AZ1" s="1994"/>
      <c r="BA1" s="1994"/>
      <c r="BB1" s="1994"/>
      <c r="BC1" s="1997"/>
      <c r="BD1" s="1994"/>
      <c r="BE1" s="1994"/>
      <c r="BF1" s="1994"/>
      <c r="BG1" s="2843"/>
      <c r="BH1" s="2843"/>
      <c r="BI1" s="2843"/>
      <c r="BJ1" s="2843"/>
      <c r="BK1" s="1994"/>
      <c r="BL1" s="1994"/>
      <c r="BM1" s="1994"/>
      <c r="BN1" s="1994"/>
      <c r="BO1" s="1994"/>
      <c r="BP1" s="1994"/>
      <c r="BQ1" s="1994"/>
      <c r="BR1" s="1994"/>
      <c r="BS1" s="1994"/>
      <c r="BT1" s="2843" t="s">
        <v>2303</v>
      </c>
      <c r="BU1" s="2843"/>
      <c r="BV1" s="2843"/>
      <c r="BW1" s="2843"/>
      <c r="BX1" s="1994"/>
      <c r="BY1" s="1994"/>
      <c r="BZ1" s="1994"/>
      <c r="CA1" s="1994"/>
      <c r="CB1" s="1994"/>
      <c r="CC1" s="1994"/>
      <c r="CD1" s="1994"/>
      <c r="CE1" s="1994"/>
      <c r="CF1" s="1994"/>
      <c r="CG1" s="1994"/>
      <c r="CH1" s="1994"/>
      <c r="CI1" s="1994"/>
      <c r="CJ1" s="1994"/>
      <c r="CK1" s="1997"/>
      <c r="CL1" s="1994"/>
      <c r="CM1" s="1994"/>
      <c r="CN1" s="1994"/>
      <c r="CO1" s="2843" t="s">
        <v>2303</v>
      </c>
      <c r="CP1" s="2843"/>
      <c r="CQ1" s="2843"/>
      <c r="CR1" s="2843"/>
      <c r="CS1" s="1994"/>
      <c r="CT1" s="1994"/>
      <c r="CU1" s="1994"/>
      <c r="CV1" s="1994"/>
      <c r="CW1" s="1994"/>
      <c r="CX1" s="1994"/>
      <c r="CY1" s="1994"/>
      <c r="CZ1" s="1994"/>
      <c r="DA1" s="1994"/>
      <c r="DB1" s="1997"/>
      <c r="DC1" s="1994"/>
      <c r="DD1" s="1994"/>
      <c r="DE1" s="1994"/>
      <c r="DF1" s="2843" t="s">
        <v>2303</v>
      </c>
      <c r="DG1" s="2843"/>
      <c r="DH1" s="2843"/>
      <c r="DI1" s="2843"/>
      <c r="DJ1" s="1994"/>
      <c r="DK1" s="1994"/>
      <c r="DL1" s="1994"/>
      <c r="DM1" s="1994"/>
      <c r="DN1" s="1994"/>
      <c r="DO1" s="1997"/>
      <c r="DP1" s="1894"/>
      <c r="DQ1" s="1894"/>
      <c r="DR1" s="1894" t="s">
        <v>2303</v>
      </c>
      <c r="DS1" s="1994"/>
      <c r="DT1" s="1994"/>
      <c r="DU1" s="1994"/>
      <c r="DV1" s="1994"/>
      <c r="DW1" s="1994"/>
      <c r="DX1" s="1994"/>
      <c r="DY1" s="1994"/>
      <c r="DZ1" s="1994"/>
      <c r="EA1" s="1994"/>
      <c r="EB1" s="1997"/>
      <c r="EC1" s="1894"/>
      <c r="ED1" s="1894" t="s">
        <v>2303</v>
      </c>
      <c r="EE1" s="1894"/>
      <c r="EF1" s="1994"/>
      <c r="EG1" s="1994"/>
      <c r="EH1" s="1994"/>
      <c r="EI1" s="1994"/>
      <c r="EJ1" s="1994"/>
      <c r="EK1" s="1994"/>
      <c r="EL1" s="1994"/>
      <c r="EM1" s="1994"/>
      <c r="EN1" s="1994"/>
      <c r="EO1" s="2843"/>
      <c r="EP1" s="2843"/>
      <c r="EQ1" s="2843"/>
      <c r="ER1" s="2843"/>
      <c r="ES1" s="1996"/>
      <c r="ET1" s="1996"/>
    </row>
    <row r="2" spans="1:150" s="1998" customFormat="1" ht="24.75" customHeight="1">
      <c r="A2" s="1994"/>
      <c r="B2" s="2844" t="s">
        <v>2304</v>
      </c>
      <c r="C2" s="1995"/>
      <c r="D2" s="1995"/>
      <c r="E2" s="1994"/>
      <c r="F2" s="1996"/>
      <c r="G2" s="1996"/>
      <c r="H2" s="1996"/>
      <c r="I2" s="1996"/>
      <c r="J2" s="1996"/>
      <c r="K2" s="1996"/>
      <c r="L2" s="1996"/>
      <c r="M2" s="1996"/>
      <c r="N2" s="1996"/>
      <c r="O2" s="1996"/>
      <c r="P2" s="1996"/>
      <c r="Q2" s="1894" t="s">
        <v>2305</v>
      </c>
      <c r="R2" s="1996"/>
      <c r="S2" s="1996"/>
      <c r="T2" s="1996"/>
      <c r="U2" s="1996"/>
      <c r="V2" s="1996"/>
      <c r="W2" s="1996"/>
      <c r="X2" s="1996"/>
      <c r="Y2" s="1894" t="s">
        <v>2305</v>
      </c>
      <c r="Z2" s="1995"/>
      <c r="AA2" s="1995"/>
      <c r="AB2" s="1995"/>
      <c r="AC2" s="1996"/>
      <c r="AD2" s="1994"/>
      <c r="AE2" s="1994"/>
      <c r="AF2" s="1994"/>
      <c r="AG2" s="1994"/>
      <c r="AH2" s="1995"/>
      <c r="AI2" s="1995"/>
      <c r="AJ2" s="1995"/>
      <c r="AK2" s="1995"/>
      <c r="AL2" s="1994"/>
      <c r="AM2" s="1994"/>
      <c r="AN2" s="1994"/>
      <c r="AO2" s="1994"/>
      <c r="AP2" s="1894"/>
      <c r="AQ2" s="1994"/>
      <c r="AR2" s="1994"/>
      <c r="AS2" s="1994"/>
      <c r="AT2" s="2843" t="s">
        <v>2305</v>
      </c>
      <c r="AU2" s="2843"/>
      <c r="AV2" s="2843"/>
      <c r="AW2" s="2843"/>
      <c r="AX2" s="1994"/>
      <c r="AY2" s="1994"/>
      <c r="AZ2" s="1994"/>
      <c r="BA2" s="1994"/>
      <c r="BB2" s="1994"/>
      <c r="BC2" s="1997"/>
      <c r="BD2" s="1994"/>
      <c r="BE2" s="1994"/>
      <c r="BF2" s="1994"/>
      <c r="BG2" s="2843"/>
      <c r="BH2" s="2843"/>
      <c r="BI2" s="2843"/>
      <c r="BJ2" s="2843"/>
      <c r="BK2" s="1994"/>
      <c r="BL2" s="1994"/>
      <c r="BM2" s="1994"/>
      <c r="BN2" s="1994"/>
      <c r="BO2" s="1994"/>
      <c r="BP2" s="1994"/>
      <c r="BQ2" s="1994"/>
      <c r="BR2" s="1994"/>
      <c r="BS2" s="1994"/>
      <c r="BT2" s="2843" t="s">
        <v>2305</v>
      </c>
      <c r="BU2" s="2843"/>
      <c r="BV2" s="2843"/>
      <c r="BW2" s="2843"/>
      <c r="BX2" s="1994"/>
      <c r="BY2" s="1994"/>
      <c r="BZ2" s="1994"/>
      <c r="CA2" s="1994"/>
      <c r="CB2" s="1994"/>
      <c r="CC2" s="1994"/>
      <c r="CD2" s="1994"/>
      <c r="CE2" s="1994"/>
      <c r="CF2" s="1994"/>
      <c r="CG2" s="1994"/>
      <c r="CH2" s="1994"/>
      <c r="CI2" s="1994"/>
      <c r="CJ2" s="1994"/>
      <c r="CK2" s="1997"/>
      <c r="CL2" s="1994"/>
      <c r="CM2" s="1994"/>
      <c r="CN2" s="1994"/>
      <c r="CO2" s="2843" t="s">
        <v>2305</v>
      </c>
      <c r="CP2" s="2843"/>
      <c r="CQ2" s="2843"/>
      <c r="CR2" s="2843"/>
      <c r="CS2" s="1994"/>
      <c r="CT2" s="1994"/>
      <c r="CU2" s="1994"/>
      <c r="CV2" s="1994"/>
      <c r="CW2" s="1994"/>
      <c r="CX2" s="1994"/>
      <c r="CY2" s="1994"/>
      <c r="CZ2" s="1994"/>
      <c r="DA2" s="1994"/>
      <c r="DB2" s="1997"/>
      <c r="DC2" s="1994"/>
      <c r="DD2" s="1994"/>
      <c r="DE2" s="1994"/>
      <c r="DF2" s="2843" t="s">
        <v>2305</v>
      </c>
      <c r="DG2" s="2843"/>
      <c r="DH2" s="2843"/>
      <c r="DI2" s="2843"/>
      <c r="DJ2" s="1994"/>
      <c r="DK2" s="1994"/>
      <c r="DL2" s="1994"/>
      <c r="DM2" s="1994"/>
      <c r="DN2" s="1994"/>
      <c r="DO2" s="1997"/>
      <c r="DP2" s="1894"/>
      <c r="DQ2" s="1894"/>
      <c r="DR2" s="1894" t="s">
        <v>2305</v>
      </c>
      <c r="DS2" s="1994"/>
      <c r="DT2" s="1994"/>
      <c r="DU2" s="1994"/>
      <c r="DV2" s="1994"/>
      <c r="DW2" s="1994"/>
      <c r="DX2" s="1994"/>
      <c r="DY2" s="1994"/>
      <c r="DZ2" s="1994"/>
      <c r="EA2" s="1994"/>
      <c r="EB2" s="1997"/>
      <c r="EC2" s="1894"/>
      <c r="ED2" s="1894" t="s">
        <v>2305</v>
      </c>
      <c r="EE2" s="1894"/>
      <c r="EF2" s="1994"/>
      <c r="EG2" s="1994"/>
      <c r="EH2" s="1994"/>
      <c r="EI2" s="1994"/>
      <c r="EJ2" s="1994"/>
      <c r="EK2" s="1994"/>
      <c r="EL2" s="1994"/>
      <c r="EM2" s="1994"/>
      <c r="EN2" s="1994"/>
      <c r="EO2" s="2843"/>
      <c r="EP2" s="2843"/>
      <c r="EQ2" s="2843"/>
      <c r="ER2" s="2843"/>
      <c r="ES2" s="1996"/>
      <c r="ET2" s="1996"/>
    </row>
    <row r="3" spans="1:150" s="1998" customFormat="1" ht="24.75" customHeight="1">
      <c r="A3" s="1994"/>
      <c r="B3" s="2844"/>
      <c r="E3" s="2857"/>
      <c r="F3" s="2857"/>
      <c r="G3" s="2857"/>
      <c r="H3" s="2857"/>
      <c r="I3" s="2857"/>
      <c r="J3" s="2857"/>
      <c r="K3" s="2857"/>
      <c r="L3" s="1996"/>
      <c r="M3" s="1996"/>
      <c r="N3" s="1996"/>
      <c r="O3" s="1996"/>
      <c r="P3" s="1996"/>
      <c r="Q3" s="1996"/>
      <c r="R3" s="1996"/>
      <c r="S3" s="1996"/>
      <c r="T3" s="1996"/>
      <c r="U3" s="1996"/>
      <c r="V3" s="1996"/>
      <c r="W3" s="1996"/>
      <c r="X3" s="1996"/>
      <c r="Y3" s="1996"/>
      <c r="Z3" s="1996"/>
      <c r="AA3" s="1996"/>
      <c r="AB3" s="1996"/>
      <c r="AC3" s="1996"/>
      <c r="AD3" s="1994"/>
      <c r="AE3" s="1994"/>
      <c r="AF3" s="1994"/>
      <c r="AG3" s="1994"/>
      <c r="AH3" s="1994"/>
      <c r="AI3" s="1994"/>
      <c r="AJ3" s="1994"/>
      <c r="AK3" s="1994"/>
      <c r="AL3" s="1994"/>
      <c r="AM3" s="1994"/>
      <c r="AN3" s="1994"/>
      <c r="AO3" s="1994"/>
      <c r="AP3" s="1994"/>
      <c r="AQ3" s="1994"/>
      <c r="AR3" s="1994"/>
      <c r="AS3" s="1994"/>
      <c r="AT3" s="1994"/>
      <c r="AU3" s="1994"/>
      <c r="AV3" s="1994"/>
      <c r="AW3" s="1994"/>
      <c r="AX3" s="1994"/>
      <c r="AY3" s="1994"/>
      <c r="AZ3" s="1994"/>
      <c r="BA3" s="1994"/>
      <c r="BB3" s="1994"/>
      <c r="BC3" s="1997"/>
      <c r="BD3" s="1994"/>
      <c r="BE3" s="1994"/>
      <c r="BF3" s="1994"/>
      <c r="BG3" s="1994"/>
      <c r="BH3" s="1994"/>
      <c r="BI3" s="1994"/>
      <c r="BJ3" s="1994"/>
      <c r="BK3" s="1994"/>
      <c r="BL3" s="1994"/>
      <c r="BM3" s="1994"/>
      <c r="BN3" s="1994"/>
      <c r="BO3" s="1994"/>
      <c r="BP3" s="1994"/>
      <c r="BQ3" s="1994"/>
      <c r="BR3" s="1994"/>
      <c r="BS3" s="1994"/>
      <c r="BT3" s="1997"/>
      <c r="BU3" s="1994"/>
      <c r="BV3" s="1994"/>
      <c r="BW3" s="1994"/>
      <c r="BX3" s="1994"/>
      <c r="BY3" s="1994"/>
      <c r="BZ3" s="1994"/>
      <c r="CA3" s="1994"/>
      <c r="CB3" s="1994"/>
      <c r="CC3" s="1994"/>
      <c r="CD3" s="1994"/>
      <c r="CE3" s="1994"/>
      <c r="CF3" s="1994"/>
      <c r="CG3" s="1994"/>
      <c r="CH3" s="1994"/>
      <c r="CI3" s="1994"/>
      <c r="CJ3" s="1994"/>
      <c r="CK3" s="1997"/>
      <c r="CL3" s="1994"/>
      <c r="CM3" s="1994"/>
      <c r="CN3" s="1994"/>
      <c r="CO3" s="1994"/>
      <c r="CP3" s="1994"/>
      <c r="CQ3" s="1994"/>
      <c r="CR3" s="1994"/>
      <c r="CS3" s="1994"/>
      <c r="CT3" s="1994"/>
      <c r="CU3" s="1994"/>
      <c r="CV3" s="1994"/>
      <c r="CW3" s="1994"/>
      <c r="CX3" s="1994"/>
      <c r="CY3" s="1994"/>
      <c r="CZ3" s="1994"/>
      <c r="DA3" s="1994"/>
      <c r="DB3" s="1997"/>
      <c r="DC3" s="1994"/>
      <c r="DD3" s="1994"/>
      <c r="DE3" s="1994"/>
      <c r="DF3" s="1994"/>
      <c r="DG3" s="1994"/>
      <c r="DH3" s="1994"/>
      <c r="DI3" s="1994"/>
      <c r="DJ3" s="1994"/>
      <c r="DK3" s="1994"/>
      <c r="DL3" s="1994"/>
      <c r="DM3" s="1994"/>
      <c r="DN3" s="1994"/>
      <c r="DO3" s="1997"/>
      <c r="DP3" s="1994"/>
      <c r="DQ3" s="1994"/>
      <c r="DR3" s="1994"/>
      <c r="DS3" s="1994"/>
      <c r="DT3" s="1994"/>
      <c r="DU3" s="1994"/>
      <c r="DV3" s="1994"/>
      <c r="DW3" s="1994"/>
      <c r="DX3" s="1994"/>
      <c r="DY3" s="1994"/>
      <c r="DZ3" s="1994"/>
      <c r="EA3" s="1994"/>
      <c r="EB3" s="1997"/>
      <c r="EC3" s="1994"/>
      <c r="ED3" s="1994"/>
      <c r="EE3" s="1994"/>
      <c r="EF3" s="1994"/>
      <c r="EG3" s="1994"/>
      <c r="EH3" s="1994"/>
      <c r="EI3" s="1994"/>
      <c r="EJ3" s="1994"/>
      <c r="EK3" s="1994"/>
      <c r="EL3" s="1994"/>
      <c r="EM3" s="1994"/>
      <c r="EN3" s="1994"/>
      <c r="EO3" s="1994"/>
      <c r="EP3" s="1996"/>
      <c r="EQ3" s="1996"/>
      <c r="ER3" s="1996"/>
      <c r="ES3" s="1996"/>
      <c r="ET3" s="1996"/>
    </row>
    <row r="4" spans="1:150" s="1998" customFormat="1" ht="45.75" customHeight="1">
      <c r="A4" s="1994"/>
      <c r="B4" s="1994"/>
      <c r="C4" s="2844" t="s">
        <v>2306</v>
      </c>
      <c r="D4" s="2844"/>
      <c r="E4" s="1994"/>
      <c r="F4" s="1996"/>
      <c r="G4" s="1996"/>
      <c r="H4" s="1996"/>
      <c r="I4" s="1996"/>
      <c r="J4" s="1996"/>
      <c r="K4" s="1996"/>
      <c r="L4" s="1996"/>
      <c r="M4" s="1996"/>
      <c r="N4" s="1996"/>
      <c r="O4" s="1996"/>
      <c r="P4" s="1996"/>
      <c r="Q4" s="1996"/>
      <c r="R4" s="1996"/>
      <c r="S4" s="1996"/>
      <c r="T4" s="1996"/>
      <c r="U4" s="1996"/>
      <c r="V4" s="1996"/>
      <c r="W4" s="1996"/>
      <c r="X4" s="1996"/>
      <c r="Y4" s="1996"/>
      <c r="Z4" s="1996"/>
      <c r="AA4" s="1996"/>
      <c r="AB4" s="1996"/>
      <c r="AC4" s="1996"/>
      <c r="AD4" s="1994"/>
      <c r="AE4" s="1994"/>
      <c r="AF4" s="1994"/>
      <c r="AG4" s="1994"/>
      <c r="AH4" s="1994"/>
      <c r="AI4" s="1994"/>
      <c r="AJ4" s="1994"/>
      <c r="AK4" s="1994"/>
      <c r="AL4" s="1994"/>
      <c r="AM4" s="1994"/>
      <c r="AN4" s="1994"/>
      <c r="AO4" s="1994"/>
      <c r="AP4" s="1994"/>
      <c r="AQ4" s="1994"/>
      <c r="AR4" s="1994"/>
      <c r="AS4" s="1994"/>
      <c r="AT4" s="1994"/>
      <c r="AU4" s="1994"/>
      <c r="AV4" s="1994"/>
      <c r="AW4" s="1994"/>
      <c r="AX4" s="1994"/>
      <c r="AY4" s="1994"/>
      <c r="AZ4" s="1994"/>
      <c r="BA4" s="1994"/>
      <c r="BB4" s="1994"/>
      <c r="BC4" s="1999"/>
      <c r="BD4" s="1994"/>
      <c r="BE4" s="1994"/>
      <c r="BF4" s="1994"/>
      <c r="BG4" s="1994"/>
      <c r="BH4" s="1994"/>
      <c r="BI4" s="1994"/>
      <c r="BJ4" s="1994"/>
      <c r="BK4" s="1994"/>
      <c r="BL4" s="1994"/>
      <c r="BM4" s="1994"/>
      <c r="BN4" s="1994"/>
      <c r="BO4" s="1994"/>
      <c r="BP4" s="1994"/>
      <c r="BQ4" s="1994"/>
      <c r="BR4" s="1994"/>
      <c r="BS4" s="1994"/>
      <c r="BT4" s="1999"/>
      <c r="BU4" s="1994"/>
      <c r="BV4" s="1994"/>
      <c r="BW4" s="1994"/>
      <c r="BX4" s="1994"/>
      <c r="BY4" s="1994"/>
      <c r="BZ4" s="1994"/>
      <c r="CA4" s="1994"/>
      <c r="CB4" s="1994"/>
      <c r="CC4" s="1994"/>
      <c r="CD4" s="1994"/>
      <c r="CE4" s="1994"/>
      <c r="CF4" s="1994"/>
      <c r="CG4" s="1994"/>
      <c r="CH4" s="1994"/>
      <c r="CI4" s="1994"/>
      <c r="CJ4" s="1994"/>
      <c r="CK4" s="1999"/>
      <c r="CL4" s="1994"/>
      <c r="CM4" s="1994"/>
      <c r="CN4" s="1994"/>
      <c r="CO4" s="1994"/>
      <c r="CP4" s="1994"/>
      <c r="CQ4" s="1994"/>
      <c r="CR4" s="1994"/>
      <c r="CS4" s="1994"/>
      <c r="CT4" s="1994"/>
      <c r="CU4" s="1994"/>
      <c r="CV4" s="1994"/>
      <c r="CW4" s="1994"/>
      <c r="CX4" s="1994"/>
      <c r="CY4" s="1994"/>
      <c r="CZ4" s="1994"/>
      <c r="DA4" s="1994"/>
      <c r="DB4" s="1999"/>
      <c r="DC4" s="1994"/>
      <c r="DD4" s="1994"/>
      <c r="DE4" s="1994"/>
      <c r="DF4" s="1994"/>
      <c r="DG4" s="1994"/>
      <c r="DH4" s="1994"/>
      <c r="DI4" s="1994"/>
      <c r="DJ4" s="1994"/>
      <c r="DK4" s="1994"/>
      <c r="DL4" s="1994"/>
      <c r="DM4" s="1994"/>
      <c r="DN4" s="1994"/>
      <c r="DO4" s="1999"/>
      <c r="DP4" s="1994"/>
      <c r="DQ4" s="1994"/>
      <c r="DR4" s="1994"/>
      <c r="DS4" s="1994"/>
      <c r="DT4" s="1994"/>
      <c r="DU4" s="1994"/>
      <c r="DV4" s="1994"/>
      <c r="DW4" s="1994"/>
      <c r="DX4" s="1994"/>
      <c r="DY4" s="1994"/>
      <c r="DZ4" s="1994"/>
      <c r="EA4" s="1994"/>
      <c r="EB4" s="1999"/>
      <c r="EC4" s="1994"/>
      <c r="ED4" s="1994"/>
      <c r="EE4" s="1994"/>
      <c r="EF4" s="1994"/>
      <c r="EG4" s="1994"/>
      <c r="EH4" s="1994"/>
      <c r="EI4" s="1994"/>
      <c r="EJ4" s="1994"/>
      <c r="EK4" s="1994"/>
      <c r="EL4" s="1994"/>
      <c r="EM4" s="1994"/>
      <c r="EN4" s="1994"/>
      <c r="EO4" s="1994"/>
      <c r="EP4" s="1996"/>
      <c r="EQ4" s="1996"/>
      <c r="ER4" s="1996"/>
      <c r="ES4" s="1996"/>
      <c r="ET4" s="1996"/>
    </row>
    <row r="5" spans="1:150" s="1998" customFormat="1" ht="24.75" customHeight="1">
      <c r="A5" s="2882" t="s">
        <v>2307</v>
      </c>
      <c r="B5" s="2000" t="s">
        <v>2308</v>
      </c>
      <c r="C5" s="2000" t="s">
        <v>2309</v>
      </c>
      <c r="D5" s="2000" t="s">
        <v>2310</v>
      </c>
      <c r="E5" s="2000" t="s">
        <v>2311</v>
      </c>
      <c r="F5" s="2000" t="s">
        <v>2312</v>
      </c>
      <c r="G5" s="2001" t="s">
        <v>2313</v>
      </c>
      <c r="H5" s="2002" t="s">
        <v>2314</v>
      </c>
      <c r="I5" s="2873" t="s">
        <v>2315</v>
      </c>
      <c r="J5" s="2873"/>
      <c r="K5" s="2874" t="s">
        <v>2316</v>
      </c>
      <c r="L5" s="2876"/>
      <c r="M5" s="2003" t="s">
        <v>2317</v>
      </c>
      <c r="N5" s="2002" t="s">
        <v>2318</v>
      </c>
      <c r="O5" s="2003" t="s">
        <v>2319</v>
      </c>
      <c r="P5" s="2003" t="s">
        <v>2320</v>
      </c>
      <c r="Q5" s="2877" t="s">
        <v>2321</v>
      </c>
      <c r="R5" s="2878"/>
      <c r="S5" s="2877" t="s">
        <v>2322</v>
      </c>
      <c r="T5" s="2878"/>
      <c r="U5" s="2877" t="s">
        <v>2323</v>
      </c>
      <c r="V5" s="2878"/>
      <c r="W5" s="2003" t="s">
        <v>2324</v>
      </c>
      <c r="X5" s="2003" t="s">
        <v>2325</v>
      </c>
      <c r="Y5" s="2001" t="s">
        <v>2326</v>
      </c>
      <c r="Z5" s="2001" t="s">
        <v>2327</v>
      </c>
      <c r="AA5" s="2001" t="s">
        <v>2328</v>
      </c>
      <c r="AB5" s="2001" t="s">
        <v>2329</v>
      </c>
      <c r="AC5" s="2001" t="s">
        <v>2330</v>
      </c>
      <c r="AD5" s="2004" t="s">
        <v>2331</v>
      </c>
      <c r="AE5" s="2001" t="s">
        <v>2332</v>
      </c>
      <c r="AF5" s="2873" t="s">
        <v>2333</v>
      </c>
      <c r="AG5" s="2873"/>
      <c r="AH5" s="2005" t="s">
        <v>2334</v>
      </c>
      <c r="AI5" s="2006" t="s">
        <v>2335</v>
      </c>
      <c r="AJ5" s="2002" t="s">
        <v>2336</v>
      </c>
      <c r="AK5" s="2006" t="s">
        <v>2337</v>
      </c>
      <c r="AL5" s="2873" t="s">
        <v>2338</v>
      </c>
      <c r="AM5" s="2873"/>
      <c r="AN5" s="2873"/>
      <c r="AO5" s="2873"/>
      <c r="AP5" s="2873"/>
      <c r="AQ5" s="2873"/>
      <c r="AR5" s="2873"/>
      <c r="AS5" s="2873"/>
      <c r="AT5" s="2002" t="s">
        <v>2339</v>
      </c>
      <c r="AU5" s="2873" t="s">
        <v>2340</v>
      </c>
      <c r="AV5" s="2873"/>
      <c r="AW5" s="2873"/>
      <c r="AX5" s="2873"/>
      <c r="AY5" s="2873"/>
      <c r="AZ5" s="2873"/>
      <c r="BA5" s="2873"/>
      <c r="BB5" s="2873"/>
      <c r="BC5" s="2002" t="s">
        <v>2341</v>
      </c>
      <c r="BD5" s="2874" t="s">
        <v>2342</v>
      </c>
      <c r="BE5" s="2875"/>
      <c r="BF5" s="2875"/>
      <c r="BG5" s="2875"/>
      <c r="BH5" s="2875"/>
      <c r="BI5" s="2875"/>
      <c r="BJ5" s="2875"/>
      <c r="BK5" s="2875"/>
      <c r="BL5" s="2875"/>
      <c r="BM5" s="2875"/>
      <c r="BN5" s="2875"/>
      <c r="BO5" s="2875"/>
      <c r="BP5" s="2875"/>
      <c r="BQ5" s="2875"/>
      <c r="BR5" s="2875"/>
      <c r="BS5" s="2876"/>
      <c r="BT5" s="2002" t="s">
        <v>2343</v>
      </c>
      <c r="BU5" s="2874" t="s">
        <v>2344</v>
      </c>
      <c r="BV5" s="2875"/>
      <c r="BW5" s="2875"/>
      <c r="BX5" s="2875"/>
      <c r="BY5" s="2875"/>
      <c r="BZ5" s="2875"/>
      <c r="CA5" s="2875"/>
      <c r="CB5" s="2875"/>
      <c r="CC5" s="2875"/>
      <c r="CD5" s="2875"/>
      <c r="CE5" s="2875"/>
      <c r="CF5" s="2875"/>
      <c r="CG5" s="2875"/>
      <c r="CH5" s="2875"/>
      <c r="CI5" s="2875"/>
      <c r="CJ5" s="2876"/>
      <c r="CK5" s="2002" t="s">
        <v>2345</v>
      </c>
      <c r="CL5" s="2874" t="s">
        <v>2346</v>
      </c>
      <c r="CM5" s="2875"/>
      <c r="CN5" s="2875"/>
      <c r="CO5" s="2875"/>
      <c r="CP5" s="2875"/>
      <c r="CQ5" s="2875"/>
      <c r="CR5" s="2875"/>
      <c r="CS5" s="2875"/>
      <c r="CT5" s="2875"/>
      <c r="CU5" s="2875"/>
      <c r="CV5" s="2875"/>
      <c r="CW5" s="2875"/>
      <c r="CX5" s="2875"/>
      <c r="CY5" s="2875"/>
      <c r="CZ5" s="2875"/>
      <c r="DA5" s="2876"/>
      <c r="DB5" s="2002" t="s">
        <v>2347</v>
      </c>
      <c r="DC5" s="2874" t="s">
        <v>2348</v>
      </c>
      <c r="DD5" s="2875"/>
      <c r="DE5" s="2875"/>
      <c r="DF5" s="2875"/>
      <c r="DG5" s="2875"/>
      <c r="DH5" s="2875"/>
      <c r="DI5" s="2875"/>
      <c r="DJ5" s="2875"/>
      <c r="DK5" s="2875"/>
      <c r="DL5" s="2875"/>
      <c r="DM5" s="2875"/>
      <c r="DN5" s="2876"/>
      <c r="DO5" s="2002" t="s">
        <v>2349</v>
      </c>
      <c r="DP5" s="2874" t="s">
        <v>2350</v>
      </c>
      <c r="DQ5" s="2875"/>
      <c r="DR5" s="2875"/>
      <c r="DS5" s="2875"/>
      <c r="DT5" s="2875"/>
      <c r="DU5" s="2875"/>
      <c r="DV5" s="2875"/>
      <c r="DW5" s="2875"/>
      <c r="DX5" s="2875"/>
      <c r="DY5" s="2875"/>
      <c r="DZ5" s="2875"/>
      <c r="EA5" s="2876"/>
      <c r="EB5" s="2002" t="s">
        <v>2351</v>
      </c>
      <c r="EC5" s="2874" t="s">
        <v>2352</v>
      </c>
      <c r="ED5" s="2875"/>
      <c r="EE5" s="2875"/>
      <c r="EF5" s="2875"/>
      <c r="EG5" s="2875"/>
      <c r="EH5" s="2875"/>
      <c r="EI5" s="2875"/>
      <c r="EJ5" s="2875"/>
      <c r="EK5" s="2875"/>
      <c r="EL5" s="2875"/>
      <c r="EM5" s="2875"/>
      <c r="EN5" s="2876"/>
      <c r="EO5" s="2002" t="s">
        <v>2353</v>
      </c>
      <c r="EP5" s="2002" t="s">
        <v>2354</v>
      </c>
      <c r="EQ5" s="2873" t="s">
        <v>2355</v>
      </c>
      <c r="ER5" s="2873"/>
      <c r="ES5" s="2002" t="s">
        <v>2356</v>
      </c>
      <c r="ET5" s="2002" t="s">
        <v>2357</v>
      </c>
    </row>
    <row r="6" spans="1:150" s="1998" customFormat="1" ht="24.75" customHeight="1">
      <c r="A6" s="2882"/>
      <c r="B6" s="2007" t="s">
        <v>188</v>
      </c>
      <c r="C6" s="2858" t="s">
        <v>2358</v>
      </c>
      <c r="D6" s="2845" t="s">
        <v>2359</v>
      </c>
      <c r="E6" s="2845" t="s">
        <v>2360</v>
      </c>
      <c r="F6" s="2845" t="str">
        <f>CONCATENATE("Qual é o modo de gestão da parcela? 1=Individual 2=Coletivo►",H5)</f>
        <v>Qual é o modo de gestão da parcela? 1=Individual 2=Coletivo►(16A.07)</v>
      </c>
      <c r="G6" s="2845" t="s">
        <v>2361</v>
      </c>
      <c r="H6" s="2845" t="s">
        <v>2362</v>
      </c>
      <c r="I6" s="2861" t="s">
        <v>2363</v>
      </c>
      <c r="J6" s="2858"/>
      <c r="K6" s="2861" t="s">
        <v>2364</v>
      </c>
      <c r="L6" s="2858"/>
      <c r="M6" s="2845" t="s">
        <v>2365</v>
      </c>
      <c r="N6" s="2845" t="s">
        <v>2366</v>
      </c>
      <c r="O6" s="2845" t="s">
        <v>2367</v>
      </c>
      <c r="P6" s="2845" t="str">
        <f>CONCATENATE("Possui algum documento legal (título, escritura, certificado, etc.) que ateste a sua posse desta parcela?
1=Título fundiário
2=Licença de exploração
3=Registo
4=Locação
5=Convençao de venda
6=Outro
7=Nenhum ►",W5)</f>
        <v>Possui algum documento legal (título, escritura, certificado, etc.) que ateste a sua posse desta parcela?
1=Título fundiário
2=Licença de exploração
3=Registo
4=Locação
5=Convençao de venda
6=Outro
7=Nenhum ►(16A.15)</v>
      </c>
      <c r="Q6" s="2861" t="s">
        <v>2368</v>
      </c>
      <c r="R6" s="2858"/>
      <c r="S6" s="2861" t="s">
        <v>2369</v>
      </c>
      <c r="T6" s="2858"/>
      <c r="U6" s="2861" t="s">
        <v>2370</v>
      </c>
      <c r="V6" s="2858"/>
      <c r="W6" s="2845" t="str">
        <f>CONCATENATE("Considera que há um risco de discordância relativamente aos seus direitos associados a esta parcela nos próximos 5 anos?
1=Sim
2=Não ►",Y5,)</f>
        <v>Considera que há um risco de discordância relativamente aos seus direitos associados a esta parcela nos próximos 5 anos?
1=Sim
2=Não ►(16A.17)</v>
      </c>
      <c r="X6" s="2845" t="s">
        <v>2371</v>
      </c>
      <c r="Y6" s="2845" t="s">
        <v>2372</v>
      </c>
      <c r="Z6" s="2845" t="s">
        <v>2373</v>
      </c>
      <c r="AA6" s="2845" t="s">
        <v>2374</v>
      </c>
      <c r="AB6" s="2845" t="s">
        <v>2375</v>
      </c>
      <c r="AC6" s="2845" t="s">
        <v>2376</v>
      </c>
      <c r="AD6" s="2845" t="str">
        <f>CONCATENATE("Utilizou resíduos animais nesta parcela durante esta campanha? 
1=Sim
2=Não ►",AH5)</f>
        <v>Utilizou resíduos animais nesta parcela durante esta campanha? 
1=Sim
2=Não ►(16A.25)</v>
      </c>
      <c r="AE6" s="2845" t="s">
        <v>2377</v>
      </c>
      <c r="AF6" s="2864" t="s">
        <v>2378</v>
      </c>
      <c r="AG6" s="2858"/>
      <c r="AH6" s="2845" t="s">
        <v>2379</v>
      </c>
      <c r="AI6" s="2845" t="s">
        <v>2380</v>
      </c>
      <c r="AJ6" s="2861" t="s">
        <v>2381</v>
      </c>
      <c r="AK6" s="2845" t="s">
        <v>2382</v>
      </c>
      <c r="AL6" s="2856" t="s">
        <v>2383</v>
      </c>
      <c r="AM6" s="2856"/>
      <c r="AN6" s="2856"/>
      <c r="AO6" s="2856"/>
      <c r="AP6" s="2856"/>
      <c r="AQ6" s="2856"/>
      <c r="AR6" s="2856"/>
      <c r="AS6" s="2856"/>
      <c r="AT6" s="2845" t="str">
        <f>CONCATENATE("Utilizou produtos fitossanitários nesta parcela durante esta campanha?
1=Sim
2=Não ►",TEXT(BC5,"(0.00)"))</f>
        <v>Utilizou produtos fitossanitários nesta parcela durante esta campanha?
1=Sim
2=Não ►(16A.32)</v>
      </c>
      <c r="AU6" s="2867" t="s">
        <v>2384</v>
      </c>
      <c r="AV6" s="2867"/>
      <c r="AW6" s="2867"/>
      <c r="AX6" s="2867"/>
      <c r="AY6" s="2867"/>
      <c r="AZ6" s="2867"/>
      <c r="BA6" s="2867"/>
      <c r="BB6" s="2868"/>
      <c r="BC6" s="2845" t="str">
        <f>CONCATENATE("Utilizou mão de obra familiar nestas parcelas durante a campanha de 2021/2022 para o período de preparação do solo (lavoura) e de sementeira?
1=Sim 
2=Não ►",BT5)</f>
        <v>Utilizou mão de obra familiar nestas parcelas durante a campanha de 2021/2022 para o período de preparação do solo (lavoura) e de sementeira?
1=Sim 
2=Não ►(16A.34)</v>
      </c>
      <c r="BD6" s="2861" t="s">
        <v>2385</v>
      </c>
      <c r="BE6" s="2864"/>
      <c r="BF6" s="2864"/>
      <c r="BG6" s="2864"/>
      <c r="BH6" s="2864"/>
      <c r="BI6" s="2864"/>
      <c r="BJ6" s="2864"/>
      <c r="BK6" s="2864"/>
      <c r="BL6" s="2864"/>
      <c r="BM6" s="2864"/>
      <c r="BN6" s="2864"/>
      <c r="BO6" s="2864"/>
      <c r="BP6" s="2864"/>
      <c r="BQ6" s="2864"/>
      <c r="BR6" s="2864"/>
      <c r="BS6" s="2858"/>
      <c r="BT6" s="2845" t="str">
        <f>CONCATENATE("Utilizou mão de obra familiar nestas parcelas durante a campanha de 2021/2022 para o período de manutenção do solo (monda, etc.)? 
1=Sim 
2=Não ►",CK5)</f>
        <v>Utilizou mão de obra familiar nestas parcelas durante a campanha de 2021/2022 para o período de manutenção do solo (monda, etc.)? 
1=Sim 
2=Não ►(16A.36)</v>
      </c>
      <c r="BU6" s="2861" t="s">
        <v>2386</v>
      </c>
      <c r="BV6" s="2864"/>
      <c r="BW6" s="2864"/>
      <c r="BX6" s="2864"/>
      <c r="BY6" s="2864"/>
      <c r="BZ6" s="2864"/>
      <c r="CA6" s="2864"/>
      <c r="CB6" s="2864"/>
      <c r="CC6" s="2864"/>
      <c r="CD6" s="2864"/>
      <c r="CE6" s="2864"/>
      <c r="CF6" s="2864"/>
      <c r="CG6" s="2864"/>
      <c r="CH6" s="2864"/>
      <c r="CI6" s="2864"/>
      <c r="CJ6" s="2858"/>
      <c r="CK6" s="2845" t="str">
        <f>CONCATENATE("Utilizou mão de obra familiar nestas parcelas durante a campanha de 2021/2022 para o período das colheitas? 
1=Sim 
2=Não ►",DB5)</f>
        <v>Utilizou mão de obra familiar nestas parcelas durante a campanha de 2021/2022 para o período das colheitas? 
1=Sim 
2=Não ►(16A.38)</v>
      </c>
      <c r="CL6" s="2861" t="s">
        <v>2387</v>
      </c>
      <c r="CM6" s="2864"/>
      <c r="CN6" s="2864"/>
      <c r="CO6" s="2864"/>
      <c r="CP6" s="2864"/>
      <c r="CQ6" s="2864"/>
      <c r="CR6" s="2864"/>
      <c r="CS6" s="2864"/>
      <c r="CT6" s="2864"/>
      <c r="CU6" s="2864"/>
      <c r="CV6" s="2864"/>
      <c r="CW6" s="2864"/>
      <c r="CX6" s="2864"/>
      <c r="CY6" s="2864"/>
      <c r="CZ6" s="2864"/>
      <c r="DA6" s="2858"/>
      <c r="DB6" s="2845" t="str">
        <f>CONCATENATE("Utilizou mão de obra não familiar nestas parcelas durante a campanha de 2021/2022 para o período de preparação do solo (lavoura) e sementeira? 
1=Sim 
2=Não ►",DO5)</f>
        <v>Utilizou mão de obra não familiar nestas parcelas durante a campanha de 2021/2022 para o período de preparação do solo (lavoura) e sementeira? 
1=Sim 
2=Não ►(16A.40)</v>
      </c>
      <c r="DC6" s="2861" t="s">
        <v>2388</v>
      </c>
      <c r="DD6" s="2864"/>
      <c r="DE6" s="2864"/>
      <c r="DF6" s="2864"/>
      <c r="DG6" s="2864"/>
      <c r="DH6" s="2864"/>
      <c r="DI6" s="2864"/>
      <c r="DJ6" s="2864"/>
      <c r="DK6" s="2864"/>
      <c r="DL6" s="2864"/>
      <c r="DM6" s="2864"/>
      <c r="DN6" s="2858"/>
      <c r="DO6" s="2845" t="str">
        <f>CONCATENATE("Utilizou mão de obra não familiar nestas parcelas durante a campanha de 2021/2022 para o período de DL6? 
1=Sim 
2=Não ►",EB5)</f>
        <v>Utilizou mão de obra não familiar nestas parcelas durante a campanha de 2021/2022 para o período de DL6? 
1=Sim 
2=Não ►(16A.42)</v>
      </c>
      <c r="DP6" s="2861" t="s">
        <v>2389</v>
      </c>
      <c r="DQ6" s="2864"/>
      <c r="DR6" s="2864"/>
      <c r="DS6" s="2864"/>
      <c r="DT6" s="2864"/>
      <c r="DU6" s="2864"/>
      <c r="DV6" s="2864"/>
      <c r="DW6" s="2864"/>
      <c r="DX6" s="2864"/>
      <c r="DY6" s="2864"/>
      <c r="DZ6" s="2864"/>
      <c r="EA6" s="2858"/>
      <c r="EB6" s="2845" t="str">
        <f>CONCATENATE("Utilizou mão de obra não familiar nestas parcelas durante a campanha de 2021/2022 para o período das colheitas? 1=Sim 2=Não ►",EO5)</f>
        <v>Utilizou mão de obra não familiar nestas parcelas durante a campanha de 2021/2022 para o período das colheitas? 1=Sim 2=Não ►(16A.44)</v>
      </c>
      <c r="EC6" s="2861" t="s">
        <v>2390</v>
      </c>
      <c r="ED6" s="2864"/>
      <c r="EE6" s="2864"/>
      <c r="EF6" s="2864"/>
      <c r="EG6" s="2864"/>
      <c r="EH6" s="2864"/>
      <c r="EI6" s="2864"/>
      <c r="EJ6" s="2864"/>
      <c r="EK6" s="2864"/>
      <c r="EL6" s="2864"/>
      <c r="EM6" s="2864"/>
      <c r="EN6" s="2858"/>
      <c r="EO6" s="2845" t="s">
        <v>2391</v>
      </c>
      <c r="EP6" s="2845" t="str">
        <f>CONCATENATE("A parcela foi medida por GPS?
1=Sim
2=Não ►",ET5)</f>
        <v>A parcela foi medida por GPS?
1=Sim
2=Não ►(16A.48)</v>
      </c>
      <c r="EQ6" s="2869" t="s">
        <v>2392</v>
      </c>
      <c r="ER6" s="2870"/>
      <c r="ES6" s="2845" t="s">
        <v>2393</v>
      </c>
      <c r="ET6" s="2845" t="s">
        <v>2394</v>
      </c>
    </row>
    <row r="7" spans="1:150" s="1998" customFormat="1" ht="24.75" customHeight="1">
      <c r="A7" s="2883"/>
      <c r="B7" s="2879" t="s">
        <v>2395</v>
      </c>
      <c r="C7" s="2859"/>
      <c r="D7" s="2846"/>
      <c r="E7" s="2846"/>
      <c r="F7" s="2846"/>
      <c r="G7" s="2846"/>
      <c r="H7" s="2846"/>
      <c r="I7" s="2862"/>
      <c r="J7" s="2859"/>
      <c r="K7" s="2862"/>
      <c r="L7" s="2859"/>
      <c r="M7" s="2846"/>
      <c r="N7" s="2846"/>
      <c r="O7" s="2846"/>
      <c r="P7" s="2846"/>
      <c r="Q7" s="2862"/>
      <c r="R7" s="2859"/>
      <c r="S7" s="2862"/>
      <c r="T7" s="2859"/>
      <c r="U7" s="2862"/>
      <c r="V7" s="2859"/>
      <c r="W7" s="2846"/>
      <c r="X7" s="2846"/>
      <c r="Y7" s="2846"/>
      <c r="Z7" s="2846"/>
      <c r="AA7" s="2846"/>
      <c r="AB7" s="2846"/>
      <c r="AC7" s="2846"/>
      <c r="AD7" s="2846"/>
      <c r="AE7" s="2846"/>
      <c r="AF7" s="2865"/>
      <c r="AG7" s="2859"/>
      <c r="AH7" s="2846"/>
      <c r="AI7" s="2846"/>
      <c r="AJ7" s="2862"/>
      <c r="AK7" s="2846"/>
      <c r="AL7" s="2885" t="s">
        <v>2396</v>
      </c>
      <c r="AM7" s="2886"/>
      <c r="AN7" s="2886"/>
      <c r="AO7" s="2886"/>
      <c r="AP7" s="2886"/>
      <c r="AQ7" s="2886"/>
      <c r="AR7" s="2886"/>
      <c r="AS7" s="2887"/>
      <c r="AT7" s="2846"/>
      <c r="AU7" s="2861" t="s">
        <v>2397</v>
      </c>
      <c r="AV7" s="2858"/>
      <c r="AW7" s="2861" t="s">
        <v>2398</v>
      </c>
      <c r="AX7" s="2858"/>
      <c r="AY7" s="2861" t="s">
        <v>2399</v>
      </c>
      <c r="AZ7" s="2858"/>
      <c r="BA7" s="2861" t="s">
        <v>2400</v>
      </c>
      <c r="BB7" s="2858"/>
      <c r="BC7" s="2846"/>
      <c r="BD7" s="2862"/>
      <c r="BE7" s="2865"/>
      <c r="BF7" s="2865"/>
      <c r="BG7" s="2865"/>
      <c r="BH7" s="2865"/>
      <c r="BI7" s="2865"/>
      <c r="BJ7" s="2865"/>
      <c r="BK7" s="2865"/>
      <c r="BL7" s="2865"/>
      <c r="BM7" s="2865"/>
      <c r="BN7" s="2865"/>
      <c r="BO7" s="2865"/>
      <c r="BP7" s="2865"/>
      <c r="BQ7" s="2865"/>
      <c r="BR7" s="2865"/>
      <c r="BS7" s="2859"/>
      <c r="BT7" s="2846"/>
      <c r="BU7" s="2862"/>
      <c r="BV7" s="2865"/>
      <c r="BW7" s="2865"/>
      <c r="BX7" s="2865"/>
      <c r="BY7" s="2865"/>
      <c r="BZ7" s="2865"/>
      <c r="CA7" s="2865"/>
      <c r="CB7" s="2865"/>
      <c r="CC7" s="2865"/>
      <c r="CD7" s="2865"/>
      <c r="CE7" s="2865"/>
      <c r="CF7" s="2865"/>
      <c r="CG7" s="2865"/>
      <c r="CH7" s="2865"/>
      <c r="CI7" s="2865"/>
      <c r="CJ7" s="2859"/>
      <c r="CK7" s="2846"/>
      <c r="CL7" s="2862"/>
      <c r="CM7" s="2865"/>
      <c r="CN7" s="2865"/>
      <c r="CO7" s="2865"/>
      <c r="CP7" s="2865"/>
      <c r="CQ7" s="2865"/>
      <c r="CR7" s="2865"/>
      <c r="CS7" s="2865"/>
      <c r="CT7" s="2865"/>
      <c r="CU7" s="2865"/>
      <c r="CV7" s="2865"/>
      <c r="CW7" s="2865"/>
      <c r="CX7" s="2865"/>
      <c r="CY7" s="2865"/>
      <c r="CZ7" s="2865"/>
      <c r="DA7" s="2859"/>
      <c r="DB7" s="2846"/>
      <c r="DC7" s="2862"/>
      <c r="DD7" s="2865"/>
      <c r="DE7" s="2865"/>
      <c r="DF7" s="2865"/>
      <c r="DG7" s="2865"/>
      <c r="DH7" s="2865"/>
      <c r="DI7" s="2865"/>
      <c r="DJ7" s="2865"/>
      <c r="DK7" s="2865"/>
      <c r="DL7" s="2865"/>
      <c r="DM7" s="2865"/>
      <c r="DN7" s="2859"/>
      <c r="DO7" s="2846"/>
      <c r="DP7" s="2862"/>
      <c r="DQ7" s="2865"/>
      <c r="DR7" s="2865"/>
      <c r="DS7" s="2865"/>
      <c r="DT7" s="2865"/>
      <c r="DU7" s="2865"/>
      <c r="DV7" s="2865"/>
      <c r="DW7" s="2865"/>
      <c r="DX7" s="2865"/>
      <c r="DY7" s="2865"/>
      <c r="DZ7" s="2865"/>
      <c r="EA7" s="2859"/>
      <c r="EB7" s="2846"/>
      <c r="EC7" s="2862"/>
      <c r="ED7" s="2865"/>
      <c r="EE7" s="2865"/>
      <c r="EF7" s="2865"/>
      <c r="EG7" s="2865"/>
      <c r="EH7" s="2865"/>
      <c r="EI7" s="2865"/>
      <c r="EJ7" s="2865"/>
      <c r="EK7" s="2865"/>
      <c r="EL7" s="2865"/>
      <c r="EM7" s="2865"/>
      <c r="EN7" s="2859"/>
      <c r="EO7" s="2846"/>
      <c r="EP7" s="2846"/>
      <c r="EQ7" s="2871"/>
      <c r="ER7" s="2872"/>
      <c r="ES7" s="2846"/>
      <c r="ET7" s="2846"/>
    </row>
    <row r="8" spans="1:150" s="1998" customFormat="1" ht="24.75" customHeight="1">
      <c r="A8" s="2883"/>
      <c r="B8" s="2880"/>
      <c r="C8" s="2859"/>
      <c r="D8" s="2846"/>
      <c r="E8" s="2846"/>
      <c r="F8" s="2846"/>
      <c r="G8" s="2846"/>
      <c r="H8" s="2846"/>
      <c r="I8" s="2862"/>
      <c r="J8" s="2859"/>
      <c r="K8" s="2862"/>
      <c r="L8" s="2859"/>
      <c r="M8" s="2846"/>
      <c r="N8" s="2846"/>
      <c r="O8" s="2846"/>
      <c r="P8" s="2846"/>
      <c r="Q8" s="2862"/>
      <c r="R8" s="2859"/>
      <c r="S8" s="2862"/>
      <c r="T8" s="2859"/>
      <c r="U8" s="2862"/>
      <c r="V8" s="2859"/>
      <c r="W8" s="2846"/>
      <c r="X8" s="2846"/>
      <c r="Y8" s="2846"/>
      <c r="Z8" s="2846"/>
      <c r="AA8" s="2846"/>
      <c r="AB8" s="2846"/>
      <c r="AC8" s="2846"/>
      <c r="AD8" s="2846"/>
      <c r="AE8" s="2846"/>
      <c r="AF8" s="2865"/>
      <c r="AG8" s="2859"/>
      <c r="AH8" s="2846"/>
      <c r="AI8" s="2846"/>
      <c r="AJ8" s="2862"/>
      <c r="AK8" s="2846"/>
      <c r="AL8" s="2888"/>
      <c r="AM8" s="2889"/>
      <c r="AN8" s="2889"/>
      <c r="AO8" s="2889"/>
      <c r="AP8" s="2889"/>
      <c r="AQ8" s="2889"/>
      <c r="AR8" s="2889"/>
      <c r="AS8" s="2890"/>
      <c r="AT8" s="2846"/>
      <c r="AU8" s="2862"/>
      <c r="AV8" s="2859"/>
      <c r="AW8" s="2862"/>
      <c r="AX8" s="2859"/>
      <c r="AY8" s="2862"/>
      <c r="AZ8" s="2859"/>
      <c r="BA8" s="2862"/>
      <c r="BB8" s="2859"/>
      <c r="BC8" s="2846"/>
      <c r="BD8" s="2862"/>
      <c r="BE8" s="2865"/>
      <c r="BF8" s="2865"/>
      <c r="BG8" s="2865"/>
      <c r="BH8" s="2865"/>
      <c r="BI8" s="2865"/>
      <c r="BJ8" s="2865"/>
      <c r="BK8" s="2865"/>
      <c r="BL8" s="2865"/>
      <c r="BM8" s="2865"/>
      <c r="BN8" s="2865"/>
      <c r="BO8" s="2865"/>
      <c r="BP8" s="2865"/>
      <c r="BQ8" s="2865"/>
      <c r="BR8" s="2865"/>
      <c r="BS8" s="2859"/>
      <c r="BT8" s="2846"/>
      <c r="BU8" s="2863"/>
      <c r="BV8" s="2866"/>
      <c r="BW8" s="2866"/>
      <c r="BX8" s="2866"/>
      <c r="BY8" s="2866"/>
      <c r="BZ8" s="2866"/>
      <c r="CA8" s="2866"/>
      <c r="CB8" s="2866"/>
      <c r="CC8" s="2866"/>
      <c r="CD8" s="2866"/>
      <c r="CE8" s="2866"/>
      <c r="CF8" s="2866"/>
      <c r="CG8" s="2866"/>
      <c r="CH8" s="2866"/>
      <c r="CI8" s="2866"/>
      <c r="CJ8" s="2860"/>
      <c r="CK8" s="2846"/>
      <c r="CL8" s="2863"/>
      <c r="CM8" s="2866"/>
      <c r="CN8" s="2866"/>
      <c r="CO8" s="2866"/>
      <c r="CP8" s="2866"/>
      <c r="CQ8" s="2866"/>
      <c r="CR8" s="2866"/>
      <c r="CS8" s="2866"/>
      <c r="CT8" s="2866"/>
      <c r="CU8" s="2866"/>
      <c r="CV8" s="2866"/>
      <c r="CW8" s="2866"/>
      <c r="CX8" s="2866"/>
      <c r="CY8" s="2866"/>
      <c r="CZ8" s="2866"/>
      <c r="DA8" s="2860"/>
      <c r="DB8" s="2846"/>
      <c r="DC8" s="2862"/>
      <c r="DD8" s="2865"/>
      <c r="DE8" s="2865"/>
      <c r="DF8" s="2865"/>
      <c r="DG8" s="2865"/>
      <c r="DH8" s="2865"/>
      <c r="DI8" s="2865"/>
      <c r="DJ8" s="2865"/>
      <c r="DK8" s="2865"/>
      <c r="DL8" s="2865"/>
      <c r="DM8" s="2865"/>
      <c r="DN8" s="2859"/>
      <c r="DO8" s="2846"/>
      <c r="DP8" s="2862"/>
      <c r="DQ8" s="2865"/>
      <c r="DR8" s="2865"/>
      <c r="DS8" s="2865"/>
      <c r="DT8" s="2865"/>
      <c r="DU8" s="2865"/>
      <c r="DV8" s="2865"/>
      <c r="DW8" s="2865"/>
      <c r="DX8" s="2865"/>
      <c r="DY8" s="2865"/>
      <c r="DZ8" s="2865"/>
      <c r="EA8" s="2859"/>
      <c r="EB8" s="2846"/>
      <c r="EC8" s="2862"/>
      <c r="ED8" s="2865"/>
      <c r="EE8" s="2865"/>
      <c r="EF8" s="2865"/>
      <c r="EG8" s="2865"/>
      <c r="EH8" s="2865"/>
      <c r="EI8" s="2865"/>
      <c r="EJ8" s="2865"/>
      <c r="EK8" s="2865"/>
      <c r="EL8" s="2865"/>
      <c r="EM8" s="2865"/>
      <c r="EN8" s="2859"/>
      <c r="EO8" s="2846"/>
      <c r="EP8" s="2846"/>
      <c r="EQ8" s="2008"/>
      <c r="ER8" s="2008"/>
      <c r="ES8" s="2846"/>
      <c r="ET8" s="2846"/>
    </row>
    <row r="9" spans="1:150" s="1998" customFormat="1" ht="24.75" customHeight="1">
      <c r="A9" s="2883"/>
      <c r="B9" s="2880"/>
      <c r="C9" s="2859"/>
      <c r="D9" s="2846"/>
      <c r="E9" s="2846"/>
      <c r="F9" s="2846"/>
      <c r="G9" s="2846"/>
      <c r="H9" s="2846"/>
      <c r="I9" s="2862"/>
      <c r="J9" s="2859"/>
      <c r="K9" s="2862"/>
      <c r="L9" s="2859"/>
      <c r="M9" s="1996"/>
      <c r="N9" s="2846"/>
      <c r="O9" s="2846"/>
      <c r="P9" s="2862"/>
      <c r="Q9" s="2852" t="s">
        <v>2401</v>
      </c>
      <c r="R9" s="2853"/>
      <c r="S9" s="2852" t="s">
        <v>2401</v>
      </c>
      <c r="T9" s="2853"/>
      <c r="U9" s="2852" t="s">
        <v>2401</v>
      </c>
      <c r="V9" s="2853"/>
      <c r="W9" s="2859"/>
      <c r="X9" s="2846"/>
      <c r="Y9" s="2846"/>
      <c r="Z9" s="2009"/>
      <c r="AA9" s="2846"/>
      <c r="AB9" s="2846"/>
      <c r="AC9" s="2846"/>
      <c r="AD9" s="2846"/>
      <c r="AE9" s="2846"/>
      <c r="AF9" s="2865"/>
      <c r="AG9" s="2859"/>
      <c r="AH9" s="2846"/>
      <c r="AI9" s="2846"/>
      <c r="AJ9" s="2862"/>
      <c r="AK9" s="2846"/>
      <c r="AL9" s="2884" t="s">
        <v>2402</v>
      </c>
      <c r="AM9" s="2884"/>
      <c r="AN9" s="2884" t="s">
        <v>2403</v>
      </c>
      <c r="AO9" s="2884"/>
      <c r="AP9" s="2884" t="s">
        <v>2404</v>
      </c>
      <c r="AQ9" s="2884"/>
      <c r="AR9" s="2861" t="s">
        <v>2405</v>
      </c>
      <c r="AS9" s="2858"/>
      <c r="AT9" s="2846"/>
      <c r="AU9" s="2862"/>
      <c r="AV9" s="2859"/>
      <c r="AW9" s="2862"/>
      <c r="AX9" s="2859"/>
      <c r="AY9" s="2862"/>
      <c r="AZ9" s="2859"/>
      <c r="BA9" s="2862"/>
      <c r="BB9" s="2859"/>
      <c r="BC9" s="2862"/>
      <c r="BD9" s="2010"/>
      <c r="BE9" s="2011"/>
      <c r="BF9" s="2011"/>
      <c r="BG9" s="2011"/>
      <c r="BH9" s="2011"/>
      <c r="BI9" s="2011"/>
      <c r="BJ9" s="2011"/>
      <c r="BK9" s="2011"/>
      <c r="BL9" s="2011"/>
      <c r="BM9" s="2011"/>
      <c r="BN9" s="2011"/>
      <c r="BO9" s="2011"/>
      <c r="BP9" s="2011"/>
      <c r="BQ9" s="2011"/>
      <c r="BR9" s="2011"/>
      <c r="BS9" s="2012"/>
      <c r="BT9" s="2846"/>
      <c r="BU9" s="2010"/>
      <c r="BV9" s="2011"/>
      <c r="BW9" s="2011"/>
      <c r="BX9" s="2011"/>
      <c r="BY9" s="2011"/>
      <c r="BZ9" s="2011"/>
      <c r="CA9" s="2011"/>
      <c r="CB9" s="2011"/>
      <c r="CC9" s="2011"/>
      <c r="CD9" s="2011"/>
      <c r="CE9" s="2011"/>
      <c r="CF9" s="2011"/>
      <c r="CG9" s="2011"/>
      <c r="CH9" s="2011"/>
      <c r="CI9" s="2011"/>
      <c r="CJ9" s="2012"/>
      <c r="CK9" s="2846"/>
      <c r="CL9" s="2013"/>
      <c r="CM9" s="2014"/>
      <c r="CN9" s="2014"/>
      <c r="CO9" s="2014"/>
      <c r="CP9" s="2014"/>
      <c r="CQ9" s="2014"/>
      <c r="CR9" s="2014"/>
      <c r="CS9" s="2014"/>
      <c r="CT9" s="2014"/>
      <c r="CU9" s="2014"/>
      <c r="CV9" s="2014"/>
      <c r="CW9" s="2014"/>
      <c r="CX9" s="2014"/>
      <c r="CY9" s="2014"/>
      <c r="CZ9" s="2014"/>
      <c r="DA9" s="2015"/>
      <c r="DB9" s="2846"/>
      <c r="DC9" s="2862"/>
      <c r="DD9" s="2865"/>
      <c r="DE9" s="2865"/>
      <c r="DF9" s="2865"/>
      <c r="DG9" s="2865"/>
      <c r="DH9" s="2865"/>
      <c r="DI9" s="2865"/>
      <c r="DJ9" s="2865"/>
      <c r="DK9" s="2865"/>
      <c r="DL9" s="2865"/>
      <c r="DM9" s="2865"/>
      <c r="DN9" s="2859"/>
      <c r="DO9" s="2846"/>
      <c r="DP9" s="2862"/>
      <c r="DQ9" s="2865"/>
      <c r="DR9" s="2865"/>
      <c r="DS9" s="2865"/>
      <c r="DT9" s="2865"/>
      <c r="DU9" s="2865"/>
      <c r="DV9" s="2865"/>
      <c r="DW9" s="2865"/>
      <c r="DX9" s="2865"/>
      <c r="DY9" s="2865"/>
      <c r="DZ9" s="2865"/>
      <c r="EA9" s="2859"/>
      <c r="EB9" s="2846"/>
      <c r="EC9" s="2862"/>
      <c r="ED9" s="2865"/>
      <c r="EE9" s="2865"/>
      <c r="EF9" s="2865"/>
      <c r="EG9" s="2865"/>
      <c r="EH9" s="2865"/>
      <c r="EI9" s="2865"/>
      <c r="EJ9" s="2865"/>
      <c r="EK9" s="2865"/>
      <c r="EL9" s="2865"/>
      <c r="EM9" s="2865"/>
      <c r="EN9" s="2859"/>
      <c r="EO9" s="2846"/>
      <c r="EP9" s="2846"/>
      <c r="EQ9" s="2016"/>
      <c r="ER9" s="2016"/>
      <c r="ES9" s="2846"/>
      <c r="ET9" s="2846"/>
    </row>
    <row r="10" spans="1:150" s="1998" customFormat="1" ht="27" customHeight="1">
      <c r="A10" s="2883"/>
      <c r="B10" s="2880"/>
      <c r="C10" s="2859"/>
      <c r="D10" s="2846"/>
      <c r="E10" s="2846"/>
      <c r="F10" s="2846"/>
      <c r="G10" s="2846"/>
      <c r="H10" s="2846"/>
      <c r="I10" s="2862"/>
      <c r="J10" s="2859"/>
      <c r="K10" s="2862"/>
      <c r="L10" s="2859"/>
      <c r="M10" s="2017" t="str">
        <f>CONCATENATE("1=Proprietário")</f>
        <v>1=Proprietário</v>
      </c>
      <c r="N10" s="2846"/>
      <c r="O10" s="2846"/>
      <c r="P10" s="2862"/>
      <c r="Q10" s="2854"/>
      <c r="R10" s="2855"/>
      <c r="S10" s="2854"/>
      <c r="T10" s="2855"/>
      <c r="U10" s="2854"/>
      <c r="V10" s="2855"/>
      <c r="W10" s="2859"/>
      <c r="X10" s="2009"/>
      <c r="Y10" s="2018"/>
      <c r="Z10" s="2009" t="s">
        <v>2406</v>
      </c>
      <c r="AA10" s="1996"/>
      <c r="AB10" s="2846"/>
      <c r="AC10" s="2846"/>
      <c r="AD10" s="2846"/>
      <c r="AE10" s="2846"/>
      <c r="AF10" s="2865"/>
      <c r="AG10" s="2859"/>
      <c r="AH10" s="2846"/>
      <c r="AI10" s="2846"/>
      <c r="AJ10" s="2862"/>
      <c r="AK10" s="2846"/>
      <c r="AL10" s="2884"/>
      <c r="AM10" s="2884"/>
      <c r="AN10" s="2884"/>
      <c r="AO10" s="2884"/>
      <c r="AP10" s="2884"/>
      <c r="AQ10" s="2884"/>
      <c r="AR10" s="2862"/>
      <c r="AS10" s="2859"/>
      <c r="AT10" s="2846"/>
      <c r="AU10" s="2862"/>
      <c r="AV10" s="2859"/>
      <c r="AW10" s="2862"/>
      <c r="AX10" s="2859"/>
      <c r="AY10" s="2862"/>
      <c r="AZ10" s="2859"/>
      <c r="BA10" s="2862"/>
      <c r="BB10" s="2859"/>
      <c r="BC10" s="2862"/>
      <c r="BD10" s="2013"/>
      <c r="BE10" s="2014"/>
      <c r="BF10" s="2014"/>
      <c r="BG10" s="2014"/>
      <c r="BH10" s="2014"/>
      <c r="BI10" s="2014"/>
      <c r="BJ10" s="2014"/>
      <c r="BK10" s="2014"/>
      <c r="BL10" s="2014"/>
      <c r="BM10" s="2014"/>
      <c r="BN10" s="2014"/>
      <c r="BO10" s="2014"/>
      <c r="BP10" s="2014"/>
      <c r="BQ10" s="2014"/>
      <c r="BR10" s="2014"/>
      <c r="BS10" s="2015"/>
      <c r="BT10" s="2846"/>
      <c r="BU10" s="2013"/>
      <c r="BV10" s="2014"/>
      <c r="BW10" s="2014"/>
      <c r="BX10" s="2014"/>
      <c r="BY10" s="2014"/>
      <c r="BZ10" s="2014"/>
      <c r="CA10" s="2014"/>
      <c r="CB10" s="2014"/>
      <c r="CC10" s="2014"/>
      <c r="CD10" s="2014"/>
      <c r="CE10" s="2014"/>
      <c r="CF10" s="2014"/>
      <c r="CG10" s="2014"/>
      <c r="CH10" s="2014"/>
      <c r="CI10" s="2014"/>
      <c r="CJ10" s="2015"/>
      <c r="CK10" s="2846"/>
      <c r="CL10" s="2013"/>
      <c r="CM10" s="2014"/>
      <c r="CN10" s="2014"/>
      <c r="CO10" s="2014"/>
      <c r="CP10" s="2014"/>
      <c r="CQ10" s="2014"/>
      <c r="CR10" s="2014"/>
      <c r="CS10" s="2014"/>
      <c r="CT10" s="2014"/>
      <c r="CU10" s="2014"/>
      <c r="CV10" s="2014"/>
      <c r="CW10" s="2014"/>
      <c r="CX10" s="2014"/>
      <c r="CY10" s="2014"/>
      <c r="CZ10" s="2014"/>
      <c r="DA10" s="2015"/>
      <c r="DB10" s="2846"/>
      <c r="DC10" s="2863"/>
      <c r="DD10" s="2866"/>
      <c r="DE10" s="2866"/>
      <c r="DF10" s="2866"/>
      <c r="DG10" s="2866"/>
      <c r="DH10" s="2866"/>
      <c r="DI10" s="2866"/>
      <c r="DJ10" s="2866"/>
      <c r="DK10" s="2866"/>
      <c r="DL10" s="2866"/>
      <c r="DM10" s="2866"/>
      <c r="DN10" s="2860"/>
      <c r="DO10" s="2846"/>
      <c r="DP10" s="2863"/>
      <c r="DQ10" s="2866"/>
      <c r="DR10" s="2866"/>
      <c r="DS10" s="2866"/>
      <c r="DT10" s="2866"/>
      <c r="DU10" s="2866"/>
      <c r="DV10" s="2866"/>
      <c r="DW10" s="2866"/>
      <c r="DX10" s="2866"/>
      <c r="DY10" s="2866"/>
      <c r="DZ10" s="2866"/>
      <c r="EA10" s="2860"/>
      <c r="EB10" s="2846"/>
      <c r="EC10" s="2863"/>
      <c r="ED10" s="2866"/>
      <c r="EE10" s="2866"/>
      <c r="EF10" s="2866"/>
      <c r="EG10" s="2866"/>
      <c r="EH10" s="2866"/>
      <c r="EI10" s="2866"/>
      <c r="EJ10" s="2866"/>
      <c r="EK10" s="2866"/>
      <c r="EL10" s="2866"/>
      <c r="EM10" s="2866"/>
      <c r="EN10" s="2860"/>
      <c r="EO10" s="2846"/>
      <c r="EP10" s="2846"/>
      <c r="EQ10" s="2019"/>
      <c r="ER10" s="2019"/>
      <c r="ES10" s="2846"/>
      <c r="ET10" s="2846"/>
    </row>
    <row r="11" spans="1:150" s="1998" customFormat="1" ht="58.5" customHeight="1">
      <c r="A11" s="2883"/>
      <c r="B11" s="2880"/>
      <c r="C11" s="2859"/>
      <c r="D11" s="2846"/>
      <c r="E11" s="2846"/>
      <c r="F11" s="2846"/>
      <c r="G11" s="2846"/>
      <c r="H11" s="2846"/>
      <c r="I11" s="2863"/>
      <c r="J11" s="2860"/>
      <c r="K11" s="2862"/>
      <c r="L11" s="2859"/>
      <c r="M11" s="2017" t="s">
        <v>2407</v>
      </c>
      <c r="N11" s="2846"/>
      <c r="O11" s="2846"/>
      <c r="P11" s="2862"/>
      <c r="Q11" s="2854"/>
      <c r="R11" s="2855"/>
      <c r="S11" s="2854"/>
      <c r="T11" s="2855"/>
      <c r="U11" s="2854"/>
      <c r="V11" s="2855"/>
      <c r="W11" s="2859"/>
      <c r="X11" s="2846" t="s">
        <v>2408</v>
      </c>
      <c r="Y11" s="2017"/>
      <c r="Z11" s="2018" t="s">
        <v>2409</v>
      </c>
      <c r="AA11" s="2018" t="s">
        <v>2410</v>
      </c>
      <c r="AB11" s="1996"/>
      <c r="AC11" s="2846"/>
      <c r="AD11" s="2846"/>
      <c r="AE11" s="2846"/>
      <c r="AF11" s="2865"/>
      <c r="AG11" s="2859"/>
      <c r="AH11" s="2846"/>
      <c r="AI11" s="2846"/>
      <c r="AJ11" s="2862"/>
      <c r="AK11" s="2846"/>
      <c r="AL11" s="2884"/>
      <c r="AM11" s="2884"/>
      <c r="AN11" s="2884"/>
      <c r="AO11" s="2884"/>
      <c r="AP11" s="2884"/>
      <c r="AQ11" s="2884"/>
      <c r="AR11" s="2862"/>
      <c r="AS11" s="2859"/>
      <c r="AT11" s="2846"/>
      <c r="AU11" s="2862"/>
      <c r="AV11" s="2859"/>
      <c r="AW11" s="2862"/>
      <c r="AX11" s="2859"/>
      <c r="AY11" s="2862"/>
      <c r="AZ11" s="2859"/>
      <c r="BA11" s="2862"/>
      <c r="BB11" s="2859"/>
      <c r="BC11" s="2862"/>
      <c r="BD11" s="2013"/>
      <c r="BE11" s="2014"/>
      <c r="BF11" s="2014"/>
      <c r="BG11" s="2014"/>
      <c r="BH11" s="2014"/>
      <c r="BI11" s="2014"/>
      <c r="BJ11" s="2014"/>
      <c r="BK11" s="2014"/>
      <c r="BL11" s="2014"/>
      <c r="BM11" s="2014"/>
      <c r="BN11" s="2014"/>
      <c r="BO11" s="2014"/>
      <c r="BP11" s="2014"/>
      <c r="BQ11" s="2014"/>
      <c r="BR11" s="2014"/>
      <c r="BS11" s="2015"/>
      <c r="BT11" s="2846"/>
      <c r="BU11" s="2013"/>
      <c r="BV11" s="2014"/>
      <c r="BW11" s="2014"/>
      <c r="BX11" s="2014"/>
      <c r="BY11" s="2014"/>
      <c r="BZ11" s="2014"/>
      <c r="CA11" s="2014"/>
      <c r="CB11" s="2014"/>
      <c r="CC11" s="2014"/>
      <c r="CD11" s="2014"/>
      <c r="CE11" s="2014"/>
      <c r="CF11" s="2014"/>
      <c r="CG11" s="2014"/>
      <c r="CH11" s="2014"/>
      <c r="CI11" s="2014"/>
      <c r="CJ11" s="2015"/>
      <c r="CK11" s="2846"/>
      <c r="CL11" s="2013"/>
      <c r="CM11" s="2014"/>
      <c r="CN11" s="2014"/>
      <c r="CO11" s="2014"/>
      <c r="CP11" s="2014"/>
      <c r="CQ11" s="2014"/>
      <c r="CR11" s="2014"/>
      <c r="CS11" s="2014"/>
      <c r="CT11" s="2014"/>
      <c r="CU11" s="2014"/>
      <c r="CV11" s="2014"/>
      <c r="CW11" s="2014"/>
      <c r="CX11" s="2014"/>
      <c r="CY11" s="2014"/>
      <c r="CZ11" s="2014"/>
      <c r="DA11" s="2015"/>
      <c r="DB11" s="2846"/>
      <c r="DC11" s="2013"/>
      <c r="DD11" s="2014"/>
      <c r="DE11" s="2014"/>
      <c r="DF11" s="2014"/>
      <c r="DG11" s="2014"/>
      <c r="DH11" s="2014"/>
      <c r="DI11" s="2014"/>
      <c r="DJ11" s="2014"/>
      <c r="DK11" s="2014"/>
      <c r="DL11" s="2014"/>
      <c r="DM11" s="2014"/>
      <c r="DN11" s="2015"/>
      <c r="DO11" s="2846"/>
      <c r="DP11" s="2013"/>
      <c r="DQ11" s="2014"/>
      <c r="DR11" s="2014"/>
      <c r="DS11" s="2014"/>
      <c r="DT11" s="2014"/>
      <c r="DU11" s="2014"/>
      <c r="DV11" s="2014"/>
      <c r="DW11" s="2014"/>
      <c r="DX11" s="2014"/>
      <c r="DY11" s="2014"/>
      <c r="DZ11" s="2014"/>
      <c r="EA11" s="2015"/>
      <c r="EB11" s="2846"/>
      <c r="EC11" s="2013"/>
      <c r="ED11" s="2014"/>
      <c r="EE11" s="2014"/>
      <c r="EF11" s="2014"/>
      <c r="EG11" s="2014"/>
      <c r="EH11" s="2014"/>
      <c r="EI11" s="2014"/>
      <c r="EJ11" s="2014"/>
      <c r="EK11" s="2014"/>
      <c r="EL11" s="2014"/>
      <c r="EM11" s="2014"/>
      <c r="EN11" s="2015"/>
      <c r="EO11" s="2846"/>
      <c r="EP11" s="2846"/>
      <c r="EQ11" s="2019"/>
      <c r="ER11" s="2019"/>
      <c r="ES11" s="2846"/>
      <c r="ET11" s="2846"/>
    </row>
    <row r="12" spans="1:150" s="1998" customFormat="1" ht="33" customHeight="1">
      <c r="A12" s="2883"/>
      <c r="B12" s="2880"/>
      <c r="C12" s="2859"/>
      <c r="D12" s="2020"/>
      <c r="E12" s="2846"/>
      <c r="F12" s="2846"/>
      <c r="G12" s="2846"/>
      <c r="H12" s="2846"/>
      <c r="I12" s="2019"/>
      <c r="J12" s="2019"/>
      <c r="K12" s="2862"/>
      <c r="L12" s="2859"/>
      <c r="M12" s="2017" t="str">
        <f>CONCATENATE("3=Arrendamento ►",Y5,
"
4=Parceria ►",Y5)</f>
        <v>3=Arrendamento ►(16A.17)
4=Parceria ►(16A.17)</v>
      </c>
      <c r="N12" s="2846"/>
      <c r="O12" s="2846"/>
      <c r="P12" s="2862"/>
      <c r="Q12" s="2854"/>
      <c r="R12" s="2855"/>
      <c r="S12" s="2854"/>
      <c r="T12" s="2855"/>
      <c r="U12" s="2854"/>
      <c r="V12" s="2855"/>
      <c r="W12" s="2859"/>
      <c r="X12" s="2846"/>
      <c r="Y12" s="2021" t="s">
        <v>2411</v>
      </c>
      <c r="Z12" s="2018" t="s">
        <v>2412</v>
      </c>
      <c r="AA12" s="2018" t="s">
        <v>2413</v>
      </c>
      <c r="AB12" s="2018" t="s">
        <v>2414</v>
      </c>
      <c r="AC12" s="2846"/>
      <c r="AD12" s="2846"/>
      <c r="AE12" s="2846"/>
      <c r="AF12" s="2865"/>
      <c r="AG12" s="2859"/>
      <c r="AH12" s="2846"/>
      <c r="AI12" s="2846"/>
      <c r="AJ12" s="2862"/>
      <c r="AK12" s="2846"/>
      <c r="AL12" s="2884"/>
      <c r="AM12" s="2884"/>
      <c r="AN12" s="2884"/>
      <c r="AO12" s="2884"/>
      <c r="AP12" s="2884"/>
      <c r="AQ12" s="2884"/>
      <c r="AR12" s="2862"/>
      <c r="AS12" s="2859"/>
      <c r="AT12" s="2846"/>
      <c r="AU12" s="2862"/>
      <c r="AV12" s="2859"/>
      <c r="AW12" s="2862"/>
      <c r="AX12" s="2859"/>
      <c r="AY12" s="2862"/>
      <c r="AZ12" s="2859"/>
      <c r="BA12" s="2862"/>
      <c r="BB12" s="2859"/>
      <c r="BC12" s="2862"/>
      <c r="BD12" s="2013"/>
      <c r="BE12" s="2014"/>
      <c r="BF12" s="2014"/>
      <c r="BG12" s="2014"/>
      <c r="BH12" s="2014"/>
      <c r="BI12" s="2014"/>
      <c r="BJ12" s="2014"/>
      <c r="BK12" s="2014"/>
      <c r="BL12" s="2014"/>
      <c r="BM12" s="2014"/>
      <c r="BN12" s="2014"/>
      <c r="BO12" s="2014"/>
      <c r="BP12" s="2014"/>
      <c r="BQ12" s="2014"/>
      <c r="BR12" s="2014"/>
      <c r="BS12" s="2015"/>
      <c r="BT12" s="2846"/>
      <c r="BU12" s="2013"/>
      <c r="BV12" s="2014"/>
      <c r="BW12" s="2014"/>
      <c r="BX12" s="2014"/>
      <c r="BY12" s="2014"/>
      <c r="BZ12" s="2014"/>
      <c r="CA12" s="2014"/>
      <c r="CB12" s="2014"/>
      <c r="CC12" s="2014"/>
      <c r="CD12" s="2014"/>
      <c r="CE12" s="2014"/>
      <c r="CF12" s="2014"/>
      <c r="CG12" s="2014"/>
      <c r="CH12" s="2014"/>
      <c r="CI12" s="2014"/>
      <c r="CJ12" s="2015"/>
      <c r="CK12" s="2846"/>
      <c r="CL12" s="2013"/>
      <c r="CM12" s="2014"/>
      <c r="CN12" s="2014"/>
      <c r="CO12" s="2014"/>
      <c r="CP12" s="2014"/>
      <c r="CQ12" s="2014"/>
      <c r="CR12" s="2014"/>
      <c r="CS12" s="2014"/>
      <c r="CT12" s="2014"/>
      <c r="CU12" s="2014"/>
      <c r="CV12" s="2014"/>
      <c r="CW12" s="2014"/>
      <c r="CX12" s="2014"/>
      <c r="CY12" s="2014"/>
      <c r="CZ12" s="2014"/>
      <c r="DA12" s="2015"/>
      <c r="DB12" s="2846"/>
      <c r="DC12" s="2013"/>
      <c r="DD12" s="2014"/>
      <c r="DE12" s="2014"/>
      <c r="DF12" s="2014"/>
      <c r="DG12" s="2014"/>
      <c r="DH12" s="2014"/>
      <c r="DI12" s="2014"/>
      <c r="DJ12" s="2014"/>
      <c r="DK12" s="2014"/>
      <c r="DL12" s="2014"/>
      <c r="DM12" s="2014"/>
      <c r="DN12" s="2015"/>
      <c r="DO12" s="2846"/>
      <c r="DP12" s="2013"/>
      <c r="DQ12" s="2014"/>
      <c r="DR12" s="2014"/>
      <c r="DS12" s="2014"/>
      <c r="DT12" s="2014"/>
      <c r="DU12" s="2014"/>
      <c r="DV12" s="2014"/>
      <c r="DW12" s="2014"/>
      <c r="DX12" s="2014"/>
      <c r="DY12" s="2014"/>
      <c r="DZ12" s="2014"/>
      <c r="EA12" s="2015"/>
      <c r="EB12" s="2846"/>
      <c r="EC12" s="2013"/>
      <c r="ED12" s="2014"/>
      <c r="EE12" s="2014"/>
      <c r="EF12" s="2014"/>
      <c r="EG12" s="2014"/>
      <c r="EH12" s="2014"/>
      <c r="EI12" s="2014"/>
      <c r="EJ12" s="2014"/>
      <c r="EK12" s="2014"/>
      <c r="EL12" s="2014"/>
      <c r="EM12" s="2014"/>
      <c r="EN12" s="2015"/>
      <c r="EO12" s="2846"/>
      <c r="EP12" s="2846"/>
      <c r="EQ12" s="2019"/>
      <c r="ER12" s="2019"/>
      <c r="ES12" s="2846"/>
      <c r="ET12" s="2846"/>
    </row>
    <row r="13" spans="1:150" s="1998" customFormat="1" ht="39.75" customHeight="1">
      <c r="A13" s="2883"/>
      <c r="B13" s="2880"/>
      <c r="C13" s="2859"/>
      <c r="D13" s="2020"/>
      <c r="E13" s="2846"/>
      <c r="F13" s="2846"/>
      <c r="G13" s="2846"/>
      <c r="H13" s="2846"/>
      <c r="I13" s="2019"/>
      <c r="J13" s="2019"/>
      <c r="K13" s="2862"/>
      <c r="L13" s="2859"/>
      <c r="M13" s="2017" t="str">
        <f>CONCATENATE("5=Penhora ►",Y5)</f>
        <v>5=Penhora ►(16A.17)</v>
      </c>
      <c r="N13" s="2846"/>
      <c r="O13" s="2846"/>
      <c r="P13" s="2862"/>
      <c r="Q13" s="2854"/>
      <c r="R13" s="2855"/>
      <c r="S13" s="2854"/>
      <c r="T13" s="2855"/>
      <c r="U13" s="2854"/>
      <c r="V13" s="2855"/>
      <c r="W13" s="2859"/>
      <c r="X13" s="2846"/>
      <c r="Y13" s="2018" t="s">
        <v>2415</v>
      </c>
      <c r="Z13" s="2018" t="s">
        <v>2416</v>
      </c>
      <c r="AA13" s="2018" t="s">
        <v>2417</v>
      </c>
      <c r="AB13" s="2018" t="s">
        <v>2418</v>
      </c>
      <c r="AC13" s="2009"/>
      <c r="AD13" s="2846"/>
      <c r="AE13" s="2846"/>
      <c r="AF13" s="2865"/>
      <c r="AG13" s="2859"/>
      <c r="AH13" s="2846"/>
      <c r="AI13" s="2846"/>
      <c r="AJ13" s="2862"/>
      <c r="AK13" s="2846"/>
      <c r="AL13" s="2884"/>
      <c r="AM13" s="2884"/>
      <c r="AN13" s="2884"/>
      <c r="AO13" s="2884"/>
      <c r="AP13" s="2884"/>
      <c r="AQ13" s="2884"/>
      <c r="AR13" s="2862"/>
      <c r="AS13" s="2859"/>
      <c r="AT13" s="2846"/>
      <c r="AU13" s="2862"/>
      <c r="AV13" s="2859"/>
      <c r="AW13" s="2862"/>
      <c r="AX13" s="2859"/>
      <c r="AY13" s="2862"/>
      <c r="AZ13" s="2859"/>
      <c r="BA13" s="2862"/>
      <c r="BB13" s="2859"/>
      <c r="BC13" s="2862"/>
      <c r="BD13" s="2013"/>
      <c r="BE13" s="2014"/>
      <c r="BF13" s="2014"/>
      <c r="BG13" s="2014"/>
      <c r="BH13" s="2014"/>
      <c r="BI13" s="2014"/>
      <c r="BJ13" s="2014"/>
      <c r="BK13" s="2014"/>
      <c r="BL13" s="2014"/>
      <c r="BM13" s="2014"/>
      <c r="BN13" s="2014"/>
      <c r="BO13" s="2014"/>
      <c r="BP13" s="2014"/>
      <c r="BQ13" s="2014"/>
      <c r="BR13" s="2014"/>
      <c r="BS13" s="2015"/>
      <c r="BT13" s="2846"/>
      <c r="BU13" s="2013"/>
      <c r="BV13" s="2014"/>
      <c r="BW13" s="2014"/>
      <c r="BX13" s="2014"/>
      <c r="BY13" s="2014"/>
      <c r="BZ13" s="2014"/>
      <c r="CA13" s="2014"/>
      <c r="CB13" s="2014"/>
      <c r="CC13" s="2014"/>
      <c r="CD13" s="2014"/>
      <c r="CE13" s="2014"/>
      <c r="CF13" s="2014"/>
      <c r="CG13" s="2014"/>
      <c r="CH13" s="2014"/>
      <c r="CI13" s="2014"/>
      <c r="CJ13" s="2015"/>
      <c r="CK13" s="2846"/>
      <c r="CL13" s="2013"/>
      <c r="CM13" s="2014"/>
      <c r="CN13" s="2014"/>
      <c r="CO13" s="2014"/>
      <c r="CP13" s="2014"/>
      <c r="CQ13" s="2014"/>
      <c r="CR13" s="2014"/>
      <c r="CS13" s="2014"/>
      <c r="CT13" s="2014"/>
      <c r="CU13" s="2014"/>
      <c r="CV13" s="2014"/>
      <c r="CW13" s="2014"/>
      <c r="CX13" s="2014"/>
      <c r="CY13" s="2014"/>
      <c r="CZ13" s="2014"/>
      <c r="DA13" s="2015"/>
      <c r="DB13" s="2846"/>
      <c r="DC13" s="2013"/>
      <c r="DD13" s="2014"/>
      <c r="DE13" s="2014"/>
      <c r="DF13" s="2014"/>
      <c r="DG13" s="2014"/>
      <c r="DH13" s="2014"/>
      <c r="DI13" s="2014"/>
      <c r="DJ13" s="2014"/>
      <c r="DK13" s="2014"/>
      <c r="DL13" s="2014"/>
      <c r="DM13" s="2014"/>
      <c r="DN13" s="2015"/>
      <c r="DO13" s="2846"/>
      <c r="DP13" s="2013"/>
      <c r="DQ13" s="2014"/>
      <c r="DR13" s="2014"/>
      <c r="DS13" s="2014"/>
      <c r="DT13" s="2014"/>
      <c r="DU13" s="2014"/>
      <c r="DV13" s="2014"/>
      <c r="DW13" s="2014"/>
      <c r="DX13" s="2014"/>
      <c r="DY13" s="2014"/>
      <c r="DZ13" s="2014"/>
      <c r="EA13" s="2015"/>
      <c r="EB13" s="2846"/>
      <c r="EC13" s="2013"/>
      <c r="ED13" s="2014"/>
      <c r="EE13" s="2014"/>
      <c r="EF13" s="2014"/>
      <c r="EG13" s="2014"/>
      <c r="EH13" s="2014"/>
      <c r="EI13" s="2014"/>
      <c r="EJ13" s="2014"/>
      <c r="EK13" s="2014"/>
      <c r="EL13" s="2014"/>
      <c r="EM13" s="2014"/>
      <c r="EN13" s="2015"/>
      <c r="EO13" s="2846"/>
      <c r="EP13" s="2846"/>
      <c r="EQ13" s="2019"/>
      <c r="ER13" s="2019"/>
      <c r="ES13" s="2846"/>
      <c r="ET13" s="2846"/>
    </row>
    <row r="14" spans="1:150" s="1998" customFormat="1" ht="42.75" customHeight="1">
      <c r="A14" s="2883"/>
      <c r="B14" s="2880"/>
      <c r="C14" s="2859"/>
      <c r="D14" s="2020"/>
      <c r="E14" s="2846"/>
      <c r="F14" s="2846"/>
      <c r="G14" s="2846"/>
      <c r="H14" s="2009"/>
      <c r="I14" s="2019"/>
      <c r="J14" s="2019"/>
      <c r="K14" s="2862"/>
      <c r="L14" s="2859"/>
      <c r="M14" s="2017" t="str">
        <f>CONCATENATE("6=Outro ►",Y5)</f>
        <v>6=Outro ►(16A.17)</v>
      </c>
      <c r="N14" s="2846"/>
      <c r="O14" s="2846"/>
      <c r="P14" s="2862"/>
      <c r="Q14" s="2854"/>
      <c r="R14" s="2855"/>
      <c r="S14" s="2854"/>
      <c r="T14" s="2855"/>
      <c r="U14" s="2854"/>
      <c r="V14" s="2855"/>
      <c r="W14" s="2859"/>
      <c r="X14" s="2846"/>
      <c r="Y14" s="2018" t="s">
        <v>2419</v>
      </c>
      <c r="Z14" s="2018" t="s">
        <v>2420</v>
      </c>
      <c r="AA14" s="2018" t="s">
        <v>2421</v>
      </c>
      <c r="AB14" s="2018" t="s">
        <v>2422</v>
      </c>
      <c r="AC14" s="2009"/>
      <c r="AD14" s="2846"/>
      <c r="AE14" s="2846"/>
      <c r="AF14" s="2865"/>
      <c r="AG14" s="2859"/>
      <c r="AH14" s="2846"/>
      <c r="AI14" s="2846"/>
      <c r="AJ14" s="2862"/>
      <c r="AK14" s="2846"/>
      <c r="AL14" s="2884"/>
      <c r="AM14" s="2884"/>
      <c r="AN14" s="2884"/>
      <c r="AO14" s="2884"/>
      <c r="AP14" s="2884"/>
      <c r="AQ14" s="2884"/>
      <c r="AR14" s="2862"/>
      <c r="AS14" s="2859"/>
      <c r="AT14" s="2846"/>
      <c r="AU14" s="2862"/>
      <c r="AV14" s="2859"/>
      <c r="AW14" s="2862"/>
      <c r="AX14" s="2859"/>
      <c r="AY14" s="2862"/>
      <c r="AZ14" s="2859"/>
      <c r="BA14" s="2862"/>
      <c r="BB14" s="2859"/>
      <c r="BC14" s="2862"/>
      <c r="BD14" s="2013"/>
      <c r="BE14" s="2014"/>
      <c r="BF14" s="2014"/>
      <c r="BG14" s="2014"/>
      <c r="BH14" s="2014"/>
      <c r="BI14" s="2014"/>
      <c r="BJ14" s="2014"/>
      <c r="BK14" s="2014"/>
      <c r="BL14" s="2014"/>
      <c r="BM14" s="2014"/>
      <c r="BN14" s="2014"/>
      <c r="BO14" s="2014"/>
      <c r="BP14" s="2014"/>
      <c r="BQ14" s="2014"/>
      <c r="BR14" s="2014"/>
      <c r="BS14" s="2015"/>
      <c r="BT14" s="2846"/>
      <c r="BU14" s="2013"/>
      <c r="BV14" s="2014"/>
      <c r="BW14" s="2014"/>
      <c r="BX14" s="2014"/>
      <c r="BY14" s="2014"/>
      <c r="BZ14" s="2014"/>
      <c r="CA14" s="2014"/>
      <c r="CB14" s="2014"/>
      <c r="CC14" s="2014"/>
      <c r="CD14" s="2014"/>
      <c r="CE14" s="2014"/>
      <c r="CF14" s="2014"/>
      <c r="CG14" s="2014"/>
      <c r="CH14" s="2014"/>
      <c r="CI14" s="2014"/>
      <c r="CJ14" s="2015"/>
      <c r="CK14" s="2846"/>
      <c r="CL14" s="2013"/>
      <c r="CM14" s="2014"/>
      <c r="CN14" s="2014"/>
      <c r="CO14" s="2014"/>
      <c r="CP14" s="2014"/>
      <c r="CQ14" s="2014"/>
      <c r="CR14" s="2014"/>
      <c r="CS14" s="2014"/>
      <c r="CT14" s="2014"/>
      <c r="CU14" s="2014"/>
      <c r="CV14" s="2014"/>
      <c r="CW14" s="2014"/>
      <c r="CX14" s="2014"/>
      <c r="CY14" s="2014"/>
      <c r="CZ14" s="2014"/>
      <c r="DA14" s="2015"/>
      <c r="DB14" s="2846"/>
      <c r="DC14" s="2013"/>
      <c r="DD14" s="2014"/>
      <c r="DE14" s="2014"/>
      <c r="DF14" s="2014"/>
      <c r="DG14" s="2014"/>
      <c r="DH14" s="2014"/>
      <c r="DI14" s="2014"/>
      <c r="DJ14" s="2014"/>
      <c r="DK14" s="2014"/>
      <c r="DL14" s="2014"/>
      <c r="DM14" s="2014"/>
      <c r="DN14" s="2015"/>
      <c r="DO14" s="2846"/>
      <c r="DP14" s="2013"/>
      <c r="DQ14" s="2014"/>
      <c r="DR14" s="2014"/>
      <c r="DS14" s="2014"/>
      <c r="DT14" s="2014"/>
      <c r="DU14" s="2014"/>
      <c r="DV14" s="2014"/>
      <c r="DW14" s="2014"/>
      <c r="DX14" s="2014"/>
      <c r="DY14" s="2014"/>
      <c r="DZ14" s="2014"/>
      <c r="EA14" s="2015"/>
      <c r="EB14" s="2846"/>
      <c r="EC14" s="2013"/>
      <c r="ED14" s="2014"/>
      <c r="EE14" s="2014"/>
      <c r="EF14" s="2014"/>
      <c r="EG14" s="2014"/>
      <c r="EH14" s="2014"/>
      <c r="EI14" s="2014"/>
      <c r="EJ14" s="2014"/>
      <c r="EK14" s="2014"/>
      <c r="EL14" s="2014"/>
      <c r="EM14" s="2014"/>
      <c r="EN14" s="2015"/>
      <c r="EO14" s="2846"/>
      <c r="EP14" s="2846"/>
      <c r="EQ14" s="2019"/>
      <c r="ER14" s="2019"/>
      <c r="ES14" s="2846"/>
      <c r="ET14" s="2846"/>
    </row>
    <row r="15" spans="1:150" s="1998" customFormat="1" ht="24.75" customHeight="1">
      <c r="A15" s="2883"/>
      <c r="B15" s="2880"/>
      <c r="C15" s="2859"/>
      <c r="D15" s="2020"/>
      <c r="E15" s="2846"/>
      <c r="F15" s="2019"/>
      <c r="G15" s="2846"/>
      <c r="H15" s="2009"/>
      <c r="I15" s="2019"/>
      <c r="J15" s="2019"/>
      <c r="K15" s="2862"/>
      <c r="L15" s="2859"/>
      <c r="M15" s="2017"/>
      <c r="N15" s="2846"/>
      <c r="O15" s="2846"/>
      <c r="P15" s="2862"/>
      <c r="Q15" s="2854"/>
      <c r="R15" s="2855"/>
      <c r="S15" s="2854"/>
      <c r="T15" s="2855"/>
      <c r="U15" s="2854"/>
      <c r="V15" s="2855"/>
      <c r="W15" s="2859"/>
      <c r="X15" s="2846"/>
      <c r="Y15" s="2018" t="s">
        <v>2423</v>
      </c>
      <c r="Z15" s="2018"/>
      <c r="AA15" s="2018" t="s">
        <v>2424</v>
      </c>
      <c r="AB15" s="2018"/>
      <c r="AC15" s="2009"/>
      <c r="AD15" s="2846"/>
      <c r="AE15" s="2846"/>
      <c r="AF15" s="2865"/>
      <c r="AG15" s="2859"/>
      <c r="AH15" s="2846"/>
      <c r="AI15" s="2846"/>
      <c r="AJ15" s="2862"/>
      <c r="AK15" s="2846"/>
      <c r="AL15" s="2884"/>
      <c r="AM15" s="2884"/>
      <c r="AN15" s="2884"/>
      <c r="AO15" s="2884"/>
      <c r="AP15" s="2884"/>
      <c r="AQ15" s="2884"/>
      <c r="AR15" s="2862"/>
      <c r="AS15" s="2859"/>
      <c r="AT15" s="2846"/>
      <c r="AU15" s="2862"/>
      <c r="AV15" s="2859"/>
      <c r="AW15" s="2862"/>
      <c r="AX15" s="2859"/>
      <c r="AY15" s="2862"/>
      <c r="AZ15" s="2859"/>
      <c r="BA15" s="2862"/>
      <c r="BB15" s="2859"/>
      <c r="BC15" s="2862"/>
      <c r="BD15" s="2013"/>
      <c r="BE15" s="2014"/>
      <c r="BF15" s="2014"/>
      <c r="BG15" s="2014"/>
      <c r="BH15" s="2014"/>
      <c r="BI15" s="2014"/>
      <c r="BJ15" s="2014"/>
      <c r="BK15" s="2014"/>
      <c r="BL15" s="2014"/>
      <c r="BM15" s="2014"/>
      <c r="BN15" s="2014"/>
      <c r="BO15" s="2014"/>
      <c r="BP15" s="2014"/>
      <c r="BQ15" s="2014"/>
      <c r="BR15" s="2014"/>
      <c r="BS15" s="2015"/>
      <c r="BT15" s="2846"/>
      <c r="BU15" s="2013"/>
      <c r="BV15" s="2014"/>
      <c r="BW15" s="2014"/>
      <c r="BX15" s="2014"/>
      <c r="BY15" s="2014"/>
      <c r="BZ15" s="2014"/>
      <c r="CA15" s="2014"/>
      <c r="CB15" s="2014"/>
      <c r="CC15" s="2014"/>
      <c r="CD15" s="2014"/>
      <c r="CE15" s="2014"/>
      <c r="CF15" s="2014"/>
      <c r="CG15" s="2014"/>
      <c r="CH15" s="2014"/>
      <c r="CI15" s="2014"/>
      <c r="CJ15" s="2015"/>
      <c r="CK15" s="2846"/>
      <c r="CL15" s="2013"/>
      <c r="CM15" s="2014"/>
      <c r="CN15" s="2014"/>
      <c r="CO15" s="2014"/>
      <c r="CP15" s="2014"/>
      <c r="CQ15" s="2014"/>
      <c r="CR15" s="2014"/>
      <c r="CS15" s="2014"/>
      <c r="CT15" s="2014"/>
      <c r="CU15" s="2014"/>
      <c r="CV15" s="2014"/>
      <c r="CW15" s="2014"/>
      <c r="CX15" s="2014"/>
      <c r="CY15" s="2014"/>
      <c r="CZ15" s="2014"/>
      <c r="DA15" s="2015"/>
      <c r="DB15" s="2846"/>
      <c r="DC15" s="2013"/>
      <c r="DD15" s="2014"/>
      <c r="DE15" s="2014"/>
      <c r="DF15" s="2014"/>
      <c r="DG15" s="2014"/>
      <c r="DH15" s="2014"/>
      <c r="DI15" s="2014"/>
      <c r="DJ15" s="2014"/>
      <c r="DK15" s="2014"/>
      <c r="DL15" s="2014"/>
      <c r="DM15" s="2014"/>
      <c r="DN15" s="2015"/>
      <c r="DO15" s="2846"/>
      <c r="DP15" s="2013"/>
      <c r="DQ15" s="2014"/>
      <c r="DR15" s="2014"/>
      <c r="DS15" s="2014"/>
      <c r="DT15" s="2014"/>
      <c r="DU15" s="2014"/>
      <c r="DV15" s="2014"/>
      <c r="DW15" s="2014"/>
      <c r="DX15" s="2014"/>
      <c r="DY15" s="2014"/>
      <c r="DZ15" s="2014"/>
      <c r="EA15" s="2015"/>
      <c r="EB15" s="2846"/>
      <c r="EC15" s="2013"/>
      <c r="ED15" s="2014"/>
      <c r="EE15" s="2014"/>
      <c r="EF15" s="2014"/>
      <c r="EG15" s="2014"/>
      <c r="EH15" s="2014"/>
      <c r="EI15" s="2014"/>
      <c r="EJ15" s="2014"/>
      <c r="EK15" s="2014"/>
      <c r="EL15" s="2014"/>
      <c r="EM15" s="2014"/>
      <c r="EN15" s="2015"/>
      <c r="EO15" s="2846"/>
      <c r="EP15" s="2846"/>
      <c r="EQ15" s="2019"/>
      <c r="ER15" s="2019"/>
      <c r="ES15" s="2846"/>
      <c r="ET15" s="2846"/>
    </row>
    <row r="16" spans="1:150" s="1998" customFormat="1" ht="24.75" customHeight="1">
      <c r="A16" s="2883"/>
      <c r="B16" s="2880"/>
      <c r="C16" s="2859"/>
      <c r="D16" s="2020"/>
      <c r="E16" s="2846"/>
      <c r="F16" s="2019"/>
      <c r="G16" s="2846"/>
      <c r="H16" s="2009"/>
      <c r="I16" s="2019"/>
      <c r="J16" s="2019"/>
      <c r="K16" s="2862"/>
      <c r="L16" s="2859"/>
      <c r="M16" s="2017"/>
      <c r="N16" s="2846"/>
      <c r="O16" s="2846"/>
      <c r="P16" s="2862"/>
      <c r="Q16" s="2854"/>
      <c r="R16" s="2855"/>
      <c r="S16" s="2854"/>
      <c r="T16" s="2855"/>
      <c r="U16" s="2854"/>
      <c r="V16" s="2855"/>
      <c r="W16" s="2859"/>
      <c r="X16" s="2846"/>
      <c r="Y16" s="2018" t="s">
        <v>2425</v>
      </c>
      <c r="Z16" s="2018"/>
      <c r="AA16" s="2018" t="s">
        <v>2426</v>
      </c>
      <c r="AB16" s="2018"/>
      <c r="AC16" s="2009"/>
      <c r="AD16" s="2846"/>
      <c r="AE16" s="2846"/>
      <c r="AF16" s="2865"/>
      <c r="AG16" s="2859"/>
      <c r="AH16" s="2846"/>
      <c r="AI16" s="2846"/>
      <c r="AJ16" s="2862"/>
      <c r="AK16" s="2846"/>
      <c r="AL16" s="2884"/>
      <c r="AM16" s="2884"/>
      <c r="AN16" s="2884"/>
      <c r="AO16" s="2884"/>
      <c r="AP16" s="2884"/>
      <c r="AQ16" s="2884"/>
      <c r="AR16" s="2862"/>
      <c r="AS16" s="2859"/>
      <c r="AT16" s="2846"/>
      <c r="AU16" s="2862"/>
      <c r="AV16" s="2859"/>
      <c r="AW16" s="2862"/>
      <c r="AX16" s="2859"/>
      <c r="AY16" s="2862"/>
      <c r="AZ16" s="2859"/>
      <c r="BA16" s="2862"/>
      <c r="BB16" s="2859"/>
      <c r="BC16" s="2862"/>
      <c r="BD16" s="2013"/>
      <c r="BE16" s="2014"/>
      <c r="BF16" s="2014"/>
      <c r="BG16" s="2014"/>
      <c r="BH16" s="2014"/>
      <c r="BI16" s="2014"/>
      <c r="BJ16" s="2014"/>
      <c r="BK16" s="2014"/>
      <c r="BL16" s="2014"/>
      <c r="BM16" s="2014"/>
      <c r="BN16" s="2014"/>
      <c r="BO16" s="2014"/>
      <c r="BP16" s="2014"/>
      <c r="BQ16" s="2014"/>
      <c r="BR16" s="2014"/>
      <c r="BS16" s="2015"/>
      <c r="BT16" s="2846"/>
      <c r="BU16" s="2013"/>
      <c r="BV16" s="2014"/>
      <c r="BW16" s="2014"/>
      <c r="BX16" s="2014"/>
      <c r="BY16" s="2014"/>
      <c r="BZ16" s="2014"/>
      <c r="CA16" s="2014"/>
      <c r="CB16" s="2014"/>
      <c r="CC16" s="2014"/>
      <c r="CD16" s="2014"/>
      <c r="CE16" s="2014"/>
      <c r="CF16" s="2014"/>
      <c r="CG16" s="2014"/>
      <c r="CH16" s="2014"/>
      <c r="CI16" s="2014"/>
      <c r="CJ16" s="2015"/>
      <c r="CK16" s="2846"/>
      <c r="CL16" s="2013"/>
      <c r="CM16" s="2014"/>
      <c r="CN16" s="2014"/>
      <c r="CO16" s="2014"/>
      <c r="CP16" s="2014"/>
      <c r="CQ16" s="2014"/>
      <c r="CR16" s="2014"/>
      <c r="CS16" s="2014"/>
      <c r="CT16" s="2014"/>
      <c r="CU16" s="2014"/>
      <c r="CV16" s="2014"/>
      <c r="CW16" s="2014"/>
      <c r="CX16" s="2014"/>
      <c r="CY16" s="2014"/>
      <c r="CZ16" s="2014"/>
      <c r="DA16" s="2015"/>
      <c r="DB16" s="2846"/>
      <c r="DC16" s="2013"/>
      <c r="DD16" s="2014"/>
      <c r="DE16" s="2014"/>
      <c r="DF16" s="2014"/>
      <c r="DG16" s="2014"/>
      <c r="DH16" s="2014"/>
      <c r="DI16" s="2014"/>
      <c r="DJ16" s="2014"/>
      <c r="DK16" s="2014"/>
      <c r="DL16" s="2014"/>
      <c r="DM16" s="2014"/>
      <c r="DN16" s="2015"/>
      <c r="DO16" s="2846"/>
      <c r="DP16" s="2013"/>
      <c r="DQ16" s="2014"/>
      <c r="DR16" s="2014"/>
      <c r="DS16" s="2014"/>
      <c r="DT16" s="2014"/>
      <c r="DU16" s="2014"/>
      <c r="DV16" s="2014"/>
      <c r="DW16" s="2014"/>
      <c r="DX16" s="2014"/>
      <c r="DY16" s="2014"/>
      <c r="DZ16" s="2014"/>
      <c r="EA16" s="2015"/>
      <c r="EB16" s="2846"/>
      <c r="EC16" s="2013"/>
      <c r="ED16" s="2014"/>
      <c r="EE16" s="2014"/>
      <c r="EF16" s="2014"/>
      <c r="EG16" s="2014"/>
      <c r="EH16" s="2014"/>
      <c r="EI16" s="2014"/>
      <c r="EJ16" s="2014"/>
      <c r="EK16" s="2014"/>
      <c r="EL16" s="2014"/>
      <c r="EM16" s="2014"/>
      <c r="EN16" s="2015"/>
      <c r="EO16" s="2846"/>
      <c r="EP16" s="2846"/>
      <c r="EQ16" s="2019"/>
      <c r="ER16" s="2019"/>
      <c r="ES16" s="2846"/>
      <c r="ET16" s="2846"/>
    </row>
    <row r="17" spans="1:150" s="1998" customFormat="1" ht="24.75" customHeight="1">
      <c r="A17" s="2883"/>
      <c r="B17" s="2880"/>
      <c r="C17" s="2859"/>
      <c r="D17" s="2020"/>
      <c r="E17" s="2846"/>
      <c r="F17" s="2019"/>
      <c r="G17" s="2846"/>
      <c r="H17" s="2009"/>
      <c r="I17" s="2019"/>
      <c r="J17" s="2019"/>
      <c r="K17" s="2862"/>
      <c r="L17" s="2859"/>
      <c r="M17" s="2017"/>
      <c r="N17" s="2846"/>
      <c r="O17" s="2846"/>
      <c r="P17" s="2862"/>
      <c r="Q17" s="2022"/>
      <c r="R17" s="2023"/>
      <c r="S17" s="2022"/>
      <c r="T17" s="2023"/>
      <c r="U17" s="2022"/>
      <c r="V17" s="2023"/>
      <c r="W17" s="2859"/>
      <c r="X17" s="2846"/>
      <c r="Y17" s="2018" t="s">
        <v>2427</v>
      </c>
      <c r="Z17" s="2018"/>
      <c r="AA17" s="2018"/>
      <c r="AB17" s="2018"/>
      <c r="AC17" s="2009"/>
      <c r="AD17" s="2846"/>
      <c r="AE17" s="2846"/>
      <c r="AF17" s="2866"/>
      <c r="AG17" s="2860"/>
      <c r="AH17" s="2846"/>
      <c r="AI17" s="2846"/>
      <c r="AJ17" s="2862"/>
      <c r="AK17" s="2846"/>
      <c r="AL17" s="2884"/>
      <c r="AM17" s="2884"/>
      <c r="AN17" s="2884"/>
      <c r="AO17" s="2884"/>
      <c r="AP17" s="2884"/>
      <c r="AQ17" s="2884"/>
      <c r="AR17" s="2863"/>
      <c r="AS17" s="2860"/>
      <c r="AT17" s="2846"/>
      <c r="AU17" s="2863"/>
      <c r="AV17" s="2860"/>
      <c r="AW17" s="2863"/>
      <c r="AX17" s="2860"/>
      <c r="AY17" s="2863"/>
      <c r="AZ17" s="2860"/>
      <c r="BA17" s="2863"/>
      <c r="BB17" s="2860"/>
      <c r="BC17" s="2862"/>
      <c r="BD17" s="2013"/>
      <c r="BE17" s="2014"/>
      <c r="BF17" s="2014"/>
      <c r="BG17" s="2014"/>
      <c r="BH17" s="2014"/>
      <c r="BI17" s="2014"/>
      <c r="BJ17" s="2014"/>
      <c r="BK17" s="2014"/>
      <c r="BL17" s="2014"/>
      <c r="BM17" s="2014"/>
      <c r="BN17" s="2014"/>
      <c r="BO17" s="2014"/>
      <c r="BP17" s="2014"/>
      <c r="BQ17" s="2014"/>
      <c r="BR17" s="2014"/>
      <c r="BS17" s="2015"/>
      <c r="BT17" s="2846"/>
      <c r="BU17" s="2013"/>
      <c r="BV17" s="2014"/>
      <c r="BW17" s="2014"/>
      <c r="BX17" s="2014"/>
      <c r="BY17" s="2014"/>
      <c r="BZ17" s="2014"/>
      <c r="CA17" s="2014"/>
      <c r="CB17" s="2014"/>
      <c r="CC17" s="2014"/>
      <c r="CD17" s="2014"/>
      <c r="CE17" s="2014"/>
      <c r="CF17" s="2014"/>
      <c r="CG17" s="2014"/>
      <c r="CH17" s="2014"/>
      <c r="CI17" s="2014"/>
      <c r="CJ17" s="2015"/>
      <c r="CK17" s="2846"/>
      <c r="CL17" s="2013"/>
      <c r="CM17" s="2014"/>
      <c r="CN17" s="2014"/>
      <c r="CO17" s="2014"/>
      <c r="CP17" s="2014"/>
      <c r="CQ17" s="2014"/>
      <c r="CR17" s="2014"/>
      <c r="CS17" s="2014"/>
      <c r="CT17" s="2014"/>
      <c r="CU17" s="2014"/>
      <c r="CV17" s="2014"/>
      <c r="CW17" s="2014"/>
      <c r="CX17" s="2014"/>
      <c r="CY17" s="2014"/>
      <c r="CZ17" s="2014"/>
      <c r="DA17" s="2015"/>
      <c r="DB17" s="2846"/>
      <c r="DC17" s="2013"/>
      <c r="DD17" s="2014"/>
      <c r="DE17" s="2014"/>
      <c r="DF17" s="2014"/>
      <c r="DG17" s="2014"/>
      <c r="DH17" s="2014"/>
      <c r="DI17" s="2014"/>
      <c r="DJ17" s="2014"/>
      <c r="DK17" s="2014"/>
      <c r="DL17" s="2014"/>
      <c r="DM17" s="2014"/>
      <c r="DN17" s="2015"/>
      <c r="DO17" s="2846"/>
      <c r="DP17" s="2013"/>
      <c r="DQ17" s="2014"/>
      <c r="DR17" s="2014"/>
      <c r="DS17" s="2014"/>
      <c r="DT17" s="2014"/>
      <c r="DU17" s="2014"/>
      <c r="DV17" s="2014"/>
      <c r="DW17" s="2014"/>
      <c r="DX17" s="2014"/>
      <c r="DY17" s="2014"/>
      <c r="DZ17" s="2014"/>
      <c r="EA17" s="2015"/>
      <c r="EB17" s="2846"/>
      <c r="EC17" s="2013"/>
      <c r="ED17" s="2014"/>
      <c r="EE17" s="2014"/>
      <c r="EF17" s="2014"/>
      <c r="EG17" s="2014"/>
      <c r="EH17" s="2014"/>
      <c r="EI17" s="2014"/>
      <c r="EJ17" s="2014"/>
      <c r="EK17" s="2014"/>
      <c r="EL17" s="2014"/>
      <c r="EM17" s="2014"/>
      <c r="EN17" s="2015"/>
      <c r="EO17" s="2846"/>
      <c r="EP17" s="2846"/>
      <c r="EQ17" s="2019"/>
      <c r="ER17" s="2019"/>
      <c r="ES17" s="2846"/>
      <c r="ET17" s="2846"/>
    </row>
    <row r="18" spans="1:150" s="1998" customFormat="1" ht="24.75" customHeight="1">
      <c r="A18" s="2883"/>
      <c r="B18" s="2881"/>
      <c r="C18" s="2860"/>
      <c r="D18" s="2024"/>
      <c r="E18" s="2020"/>
      <c r="F18" s="2019"/>
      <c r="G18" s="2847"/>
      <c r="H18" s="2025"/>
      <c r="I18" s="2019"/>
      <c r="J18" s="2019"/>
      <c r="K18" s="2863"/>
      <c r="L18" s="2860"/>
      <c r="M18" s="2026"/>
      <c r="N18" s="2019"/>
      <c r="O18" s="2847"/>
      <c r="P18" s="2863"/>
      <c r="Q18" s="2027" t="s">
        <v>1766</v>
      </c>
      <c r="R18" s="2027" t="s">
        <v>1767</v>
      </c>
      <c r="S18" s="2027" t="s">
        <v>1766</v>
      </c>
      <c r="T18" s="2027" t="s">
        <v>1767</v>
      </c>
      <c r="U18" s="2027" t="s">
        <v>1766</v>
      </c>
      <c r="V18" s="2027" t="s">
        <v>1767</v>
      </c>
      <c r="W18" s="2860"/>
      <c r="X18" s="2847"/>
      <c r="Y18" s="2028"/>
      <c r="Z18" s="2028"/>
      <c r="AA18" s="2028"/>
      <c r="AB18" s="2028"/>
      <c r="AC18" s="2025"/>
      <c r="AD18" s="2847"/>
      <c r="AE18" s="2847"/>
      <c r="AF18" s="2029" t="s">
        <v>2428</v>
      </c>
      <c r="AG18" s="2029" t="s">
        <v>2429</v>
      </c>
      <c r="AH18" s="2847"/>
      <c r="AI18" s="2847"/>
      <c r="AJ18" s="2863"/>
      <c r="AK18" s="2847"/>
      <c r="AL18" s="2030" t="s">
        <v>2428</v>
      </c>
      <c r="AM18" s="2030" t="s">
        <v>2429</v>
      </c>
      <c r="AN18" s="2030" t="s">
        <v>2428</v>
      </c>
      <c r="AO18" s="2030" t="s">
        <v>2429</v>
      </c>
      <c r="AP18" s="2030" t="s">
        <v>2428</v>
      </c>
      <c r="AQ18" s="2030" t="s">
        <v>2429</v>
      </c>
      <c r="AR18" s="2030" t="s">
        <v>2428</v>
      </c>
      <c r="AS18" s="2030" t="s">
        <v>2429</v>
      </c>
      <c r="AT18" s="2026"/>
      <c r="AU18" s="2030" t="s">
        <v>2428</v>
      </c>
      <c r="AV18" s="2030" t="s">
        <v>2429</v>
      </c>
      <c r="AW18" s="2030" t="s">
        <v>2428</v>
      </c>
      <c r="AX18" s="2030" t="s">
        <v>2429</v>
      </c>
      <c r="AY18" s="2030" t="s">
        <v>2428</v>
      </c>
      <c r="AZ18" s="2030" t="s">
        <v>2429</v>
      </c>
      <c r="BA18" s="2030" t="s">
        <v>2428</v>
      </c>
      <c r="BB18" s="2030" t="s">
        <v>2429</v>
      </c>
      <c r="BC18" s="2863"/>
      <c r="BD18" s="2848" t="s">
        <v>2430</v>
      </c>
      <c r="BE18" s="2848"/>
      <c r="BF18" s="2848" t="s">
        <v>2431</v>
      </c>
      <c r="BG18" s="2848"/>
      <c r="BH18" s="2848" t="s">
        <v>2432</v>
      </c>
      <c r="BI18" s="2848"/>
      <c r="BJ18" s="2848" t="s">
        <v>2433</v>
      </c>
      <c r="BK18" s="2848"/>
      <c r="BL18" s="2848" t="s">
        <v>2434</v>
      </c>
      <c r="BM18" s="2848"/>
      <c r="BN18" s="2848" t="s">
        <v>2435</v>
      </c>
      <c r="BO18" s="2848"/>
      <c r="BP18" s="2848" t="s">
        <v>2436</v>
      </c>
      <c r="BQ18" s="2848"/>
      <c r="BR18" s="2848" t="s">
        <v>2437</v>
      </c>
      <c r="BS18" s="2848"/>
      <c r="BT18" s="2847"/>
      <c r="BU18" s="2848" t="s">
        <v>2430</v>
      </c>
      <c r="BV18" s="2848"/>
      <c r="BW18" s="2848" t="s">
        <v>2431</v>
      </c>
      <c r="BX18" s="2848"/>
      <c r="BY18" s="2848" t="s">
        <v>2432</v>
      </c>
      <c r="BZ18" s="2848"/>
      <c r="CA18" s="2848" t="s">
        <v>2433</v>
      </c>
      <c r="CB18" s="2848"/>
      <c r="CC18" s="2848" t="s">
        <v>2434</v>
      </c>
      <c r="CD18" s="2848"/>
      <c r="CE18" s="2848" t="s">
        <v>2435</v>
      </c>
      <c r="CF18" s="2848"/>
      <c r="CG18" s="2848" t="s">
        <v>2436</v>
      </c>
      <c r="CH18" s="2848"/>
      <c r="CI18" s="2848" t="s">
        <v>2437</v>
      </c>
      <c r="CJ18" s="2848"/>
      <c r="CK18" s="2847"/>
      <c r="CL18" s="2848" t="s">
        <v>2430</v>
      </c>
      <c r="CM18" s="2848"/>
      <c r="CN18" s="2848" t="s">
        <v>2431</v>
      </c>
      <c r="CO18" s="2848"/>
      <c r="CP18" s="2848" t="s">
        <v>2432</v>
      </c>
      <c r="CQ18" s="2848"/>
      <c r="CR18" s="2848" t="s">
        <v>2433</v>
      </c>
      <c r="CS18" s="2848"/>
      <c r="CT18" s="2848" t="s">
        <v>2434</v>
      </c>
      <c r="CU18" s="2848"/>
      <c r="CV18" s="2848" t="s">
        <v>2435</v>
      </c>
      <c r="CW18" s="2848"/>
      <c r="CX18" s="2848" t="s">
        <v>2436</v>
      </c>
      <c r="CY18" s="2848"/>
      <c r="CZ18" s="2848" t="s">
        <v>2437</v>
      </c>
      <c r="DA18" s="2848"/>
      <c r="DB18" s="2847"/>
      <c r="DC18" s="2849" t="s">
        <v>2438</v>
      </c>
      <c r="DD18" s="2850"/>
      <c r="DE18" s="2850"/>
      <c r="DF18" s="2848" t="s">
        <v>2439</v>
      </c>
      <c r="DG18" s="2848"/>
      <c r="DH18" s="2848"/>
      <c r="DI18" s="2849" t="s">
        <v>2440</v>
      </c>
      <c r="DJ18" s="2850"/>
      <c r="DK18" s="2851"/>
      <c r="DL18" s="2848" t="s">
        <v>2441</v>
      </c>
      <c r="DM18" s="2848"/>
      <c r="DN18" s="2848"/>
      <c r="DO18" s="2847"/>
      <c r="DP18" s="2849" t="s">
        <v>2438</v>
      </c>
      <c r="DQ18" s="2850"/>
      <c r="DR18" s="2850"/>
      <c r="DS18" s="2848" t="s">
        <v>2439</v>
      </c>
      <c r="DT18" s="2848"/>
      <c r="DU18" s="2848"/>
      <c r="DV18" s="2849" t="s">
        <v>2440</v>
      </c>
      <c r="DW18" s="2850"/>
      <c r="DX18" s="2851"/>
      <c r="DY18" s="2848" t="s">
        <v>2441</v>
      </c>
      <c r="DZ18" s="2848"/>
      <c r="EA18" s="2848"/>
      <c r="EB18" s="2847"/>
      <c r="EC18" s="2849" t="s">
        <v>2438</v>
      </c>
      <c r="ED18" s="2850"/>
      <c r="EE18" s="2850"/>
      <c r="EF18" s="2848" t="s">
        <v>2439</v>
      </c>
      <c r="EG18" s="2848"/>
      <c r="EH18" s="2848"/>
      <c r="EI18" s="2849" t="s">
        <v>2440</v>
      </c>
      <c r="EJ18" s="2850"/>
      <c r="EK18" s="2851"/>
      <c r="EL18" s="2848" t="s">
        <v>2441</v>
      </c>
      <c r="EM18" s="2848"/>
      <c r="EN18" s="2848"/>
      <c r="EO18" s="2847"/>
      <c r="EP18" s="2847"/>
      <c r="EQ18" s="2031"/>
      <c r="ER18" s="2031"/>
      <c r="ES18" s="2847"/>
      <c r="ET18" s="2847"/>
    </row>
    <row r="19" spans="1:150" s="1998" customFormat="1" ht="24.75" customHeight="1">
      <c r="A19" s="2882"/>
      <c r="B19" s="2032" t="s">
        <v>2442</v>
      </c>
      <c r="C19" s="2033" t="s">
        <v>2443</v>
      </c>
      <c r="D19" s="2034" t="s">
        <v>2443</v>
      </c>
      <c r="E19" s="2034" t="s">
        <v>187</v>
      </c>
      <c r="F19" s="2035" t="s">
        <v>420</v>
      </c>
      <c r="G19" s="2035" t="s">
        <v>187</v>
      </c>
      <c r="H19" s="2035" t="s">
        <v>426</v>
      </c>
      <c r="I19" s="2035" t="s">
        <v>1774</v>
      </c>
      <c r="J19" s="2035" t="s">
        <v>420</v>
      </c>
      <c r="K19" s="2035" t="s">
        <v>426</v>
      </c>
      <c r="L19" s="2035" t="s">
        <v>2429</v>
      </c>
      <c r="M19" s="2035" t="s">
        <v>420</v>
      </c>
      <c r="N19" s="2035" t="s">
        <v>187</v>
      </c>
      <c r="O19" s="2035" t="s">
        <v>420</v>
      </c>
      <c r="P19" s="2036" t="s">
        <v>420</v>
      </c>
      <c r="Q19" s="2035" t="s">
        <v>187</v>
      </c>
      <c r="R19" s="2035" t="s">
        <v>187</v>
      </c>
      <c r="S19" s="2035" t="s">
        <v>187</v>
      </c>
      <c r="T19" s="2035" t="s">
        <v>187</v>
      </c>
      <c r="U19" s="2035" t="s">
        <v>187</v>
      </c>
      <c r="V19" s="2035" t="s">
        <v>187</v>
      </c>
      <c r="W19" s="2037" t="s">
        <v>420</v>
      </c>
      <c r="X19" s="2037" t="s">
        <v>420</v>
      </c>
      <c r="Y19" s="2037" t="s">
        <v>420</v>
      </c>
      <c r="Z19" s="2037" t="s">
        <v>420</v>
      </c>
      <c r="AA19" s="2037" t="s">
        <v>420</v>
      </c>
      <c r="AB19" s="2037" t="s">
        <v>420</v>
      </c>
      <c r="AC19" s="2037" t="s">
        <v>2444</v>
      </c>
      <c r="AD19" s="2038" t="s">
        <v>420</v>
      </c>
      <c r="AE19" s="2039" t="s">
        <v>420</v>
      </c>
      <c r="AF19" s="2039" t="s">
        <v>426</v>
      </c>
      <c r="AG19" s="2039" t="s">
        <v>420</v>
      </c>
      <c r="AH19" s="2039" t="s">
        <v>420</v>
      </c>
      <c r="AI19" s="2038" t="s">
        <v>426</v>
      </c>
      <c r="AJ19" s="2038" t="s">
        <v>420</v>
      </c>
      <c r="AK19" s="2038" t="s">
        <v>426</v>
      </c>
      <c r="AL19" s="2038" t="s">
        <v>426</v>
      </c>
      <c r="AM19" s="2039" t="s">
        <v>420</v>
      </c>
      <c r="AN19" s="2038" t="s">
        <v>426</v>
      </c>
      <c r="AO19" s="2039" t="s">
        <v>420</v>
      </c>
      <c r="AP19" s="2038" t="s">
        <v>426</v>
      </c>
      <c r="AQ19" s="2039" t="s">
        <v>420</v>
      </c>
      <c r="AR19" s="2038" t="s">
        <v>426</v>
      </c>
      <c r="AS19" s="2039" t="s">
        <v>420</v>
      </c>
      <c r="AT19" s="2038" t="s">
        <v>420</v>
      </c>
      <c r="AU19" s="2038" t="s">
        <v>426</v>
      </c>
      <c r="AV19" s="2039" t="s">
        <v>420</v>
      </c>
      <c r="AW19" s="2038" t="s">
        <v>426</v>
      </c>
      <c r="AX19" s="2039" t="s">
        <v>420</v>
      </c>
      <c r="AY19" s="2038" t="s">
        <v>426</v>
      </c>
      <c r="AZ19" s="2039" t="s">
        <v>420</v>
      </c>
      <c r="BA19" s="2038" t="s">
        <v>426</v>
      </c>
      <c r="BB19" s="2039" t="s">
        <v>420</v>
      </c>
      <c r="BC19" s="2040" t="s">
        <v>420</v>
      </c>
      <c r="BD19" s="2035" t="s">
        <v>425</v>
      </c>
      <c r="BE19" s="2035" t="s">
        <v>947</v>
      </c>
      <c r="BF19" s="2035" t="s">
        <v>2445</v>
      </c>
      <c r="BG19" s="2035" t="s">
        <v>947</v>
      </c>
      <c r="BH19" s="2035" t="s">
        <v>425</v>
      </c>
      <c r="BI19" s="2035" t="s">
        <v>947</v>
      </c>
      <c r="BJ19" s="2035" t="s">
        <v>425</v>
      </c>
      <c r="BK19" s="2035" t="s">
        <v>947</v>
      </c>
      <c r="BL19" s="2035" t="s">
        <v>425</v>
      </c>
      <c r="BM19" s="2035" t="s">
        <v>947</v>
      </c>
      <c r="BN19" s="2035" t="s">
        <v>425</v>
      </c>
      <c r="BO19" s="2035" t="s">
        <v>947</v>
      </c>
      <c r="BP19" s="2035" t="s">
        <v>425</v>
      </c>
      <c r="BQ19" s="2035" t="s">
        <v>947</v>
      </c>
      <c r="BR19" s="2035" t="s">
        <v>425</v>
      </c>
      <c r="BS19" s="2035" t="s">
        <v>947</v>
      </c>
      <c r="BT19" s="2040" t="s">
        <v>420</v>
      </c>
      <c r="BU19" s="2035" t="s">
        <v>425</v>
      </c>
      <c r="BV19" s="2035" t="s">
        <v>947</v>
      </c>
      <c r="BW19" s="2035" t="s">
        <v>2445</v>
      </c>
      <c r="BX19" s="2035" t="s">
        <v>947</v>
      </c>
      <c r="BY19" s="2035" t="s">
        <v>425</v>
      </c>
      <c r="BZ19" s="2035" t="s">
        <v>947</v>
      </c>
      <c r="CA19" s="2035" t="s">
        <v>425</v>
      </c>
      <c r="CB19" s="2035" t="s">
        <v>947</v>
      </c>
      <c r="CC19" s="2035" t="s">
        <v>425</v>
      </c>
      <c r="CD19" s="2035" t="s">
        <v>947</v>
      </c>
      <c r="CE19" s="2035" t="s">
        <v>425</v>
      </c>
      <c r="CF19" s="2035" t="s">
        <v>947</v>
      </c>
      <c r="CG19" s="2035" t="s">
        <v>425</v>
      </c>
      <c r="CH19" s="2035" t="s">
        <v>947</v>
      </c>
      <c r="CI19" s="2035" t="s">
        <v>425</v>
      </c>
      <c r="CJ19" s="2035" t="s">
        <v>947</v>
      </c>
      <c r="CK19" s="2040" t="s">
        <v>420</v>
      </c>
      <c r="CL19" s="2035" t="s">
        <v>425</v>
      </c>
      <c r="CM19" s="2035" t="s">
        <v>947</v>
      </c>
      <c r="CN19" s="2035" t="s">
        <v>2445</v>
      </c>
      <c r="CO19" s="2035" t="s">
        <v>947</v>
      </c>
      <c r="CP19" s="2035" t="s">
        <v>425</v>
      </c>
      <c r="CQ19" s="2035" t="s">
        <v>947</v>
      </c>
      <c r="CR19" s="2035" t="s">
        <v>425</v>
      </c>
      <c r="CS19" s="2035" t="s">
        <v>947</v>
      </c>
      <c r="CT19" s="2035" t="s">
        <v>425</v>
      </c>
      <c r="CU19" s="2035" t="s">
        <v>947</v>
      </c>
      <c r="CV19" s="2035" t="s">
        <v>425</v>
      </c>
      <c r="CW19" s="2035" t="s">
        <v>947</v>
      </c>
      <c r="CX19" s="2035" t="s">
        <v>425</v>
      </c>
      <c r="CY19" s="2035" t="s">
        <v>947</v>
      </c>
      <c r="CZ19" s="2035" t="s">
        <v>425</v>
      </c>
      <c r="DA19" s="2035" t="s">
        <v>947</v>
      </c>
      <c r="DB19" s="2035" t="s">
        <v>420</v>
      </c>
      <c r="DC19" s="2036" t="s">
        <v>2446</v>
      </c>
      <c r="DD19" s="2035" t="s">
        <v>1777</v>
      </c>
      <c r="DE19" s="2035" t="s">
        <v>2447</v>
      </c>
      <c r="DF19" s="2036" t="s">
        <v>2446</v>
      </c>
      <c r="DG19" s="2035" t="s">
        <v>1777</v>
      </c>
      <c r="DH19" s="2035" t="s">
        <v>2447</v>
      </c>
      <c r="DI19" s="2036" t="s">
        <v>2446</v>
      </c>
      <c r="DJ19" s="2035" t="s">
        <v>1777</v>
      </c>
      <c r="DK19" s="2035" t="s">
        <v>2447</v>
      </c>
      <c r="DL19" s="2041" t="s">
        <v>2446</v>
      </c>
      <c r="DM19" s="2035" t="s">
        <v>1777</v>
      </c>
      <c r="DN19" s="2035" t="s">
        <v>2447</v>
      </c>
      <c r="DO19" s="2035" t="s">
        <v>420</v>
      </c>
      <c r="DP19" s="2036" t="s">
        <v>2446</v>
      </c>
      <c r="DQ19" s="2035" t="s">
        <v>1777</v>
      </c>
      <c r="DR19" s="2035" t="s">
        <v>2447</v>
      </c>
      <c r="DS19" s="2036" t="s">
        <v>2446</v>
      </c>
      <c r="DT19" s="2035" t="s">
        <v>1777</v>
      </c>
      <c r="DU19" s="2035" t="s">
        <v>2447</v>
      </c>
      <c r="DV19" s="2036" t="s">
        <v>2446</v>
      </c>
      <c r="DW19" s="2035" t="s">
        <v>1777</v>
      </c>
      <c r="DX19" s="2035" t="s">
        <v>2447</v>
      </c>
      <c r="DY19" s="2041" t="s">
        <v>2446</v>
      </c>
      <c r="DZ19" s="2035" t="s">
        <v>1777</v>
      </c>
      <c r="EA19" s="2035" t="s">
        <v>2447</v>
      </c>
      <c r="EB19" s="2035" t="s">
        <v>420</v>
      </c>
      <c r="EC19" s="2036" t="s">
        <v>2446</v>
      </c>
      <c r="ED19" s="2035" t="s">
        <v>1777</v>
      </c>
      <c r="EE19" s="2035" t="s">
        <v>2447</v>
      </c>
      <c r="EF19" s="2036" t="s">
        <v>2446</v>
      </c>
      <c r="EG19" s="2035" t="s">
        <v>1777</v>
      </c>
      <c r="EH19" s="2035" t="s">
        <v>2447</v>
      </c>
      <c r="EI19" s="2036" t="s">
        <v>2446</v>
      </c>
      <c r="EJ19" s="2035" t="s">
        <v>1777</v>
      </c>
      <c r="EK19" s="2035" t="s">
        <v>2447</v>
      </c>
      <c r="EL19" s="2041" t="s">
        <v>2446</v>
      </c>
      <c r="EM19" s="2035" t="s">
        <v>1777</v>
      </c>
      <c r="EN19" s="2035" t="s">
        <v>2447</v>
      </c>
      <c r="EO19" s="2039" t="s">
        <v>420</v>
      </c>
      <c r="EP19" s="2035" t="s">
        <v>420</v>
      </c>
      <c r="EQ19" s="2035" t="s">
        <v>2448</v>
      </c>
      <c r="ER19" s="2035" t="s">
        <v>2449</v>
      </c>
      <c r="ES19" s="2035" t="s">
        <v>2450</v>
      </c>
      <c r="ET19" s="2035" t="s">
        <v>420</v>
      </c>
    </row>
    <row r="20" spans="1:150" ht="18.2" customHeight="1">
      <c r="A20" s="1868" t="s">
        <v>775</v>
      </c>
      <c r="B20" s="770"/>
      <c r="C20" s="1060"/>
      <c r="D20" s="770"/>
      <c r="E20" s="770"/>
      <c r="F20" s="1405"/>
      <c r="G20" s="1405"/>
      <c r="H20" s="1473"/>
      <c r="I20" s="1405"/>
      <c r="J20" s="1405"/>
      <c r="K20" s="1405"/>
      <c r="L20" s="1405"/>
      <c r="M20" s="1405"/>
      <c r="N20" s="1405"/>
      <c r="O20" s="1405"/>
      <c r="P20" s="1405"/>
      <c r="Q20" s="1869"/>
      <c r="R20" s="1869"/>
      <c r="S20" s="1869"/>
      <c r="T20" s="1869"/>
      <c r="U20" s="1869"/>
      <c r="V20" s="1869"/>
      <c r="W20" s="1808"/>
      <c r="X20" s="1808"/>
      <c r="Y20" s="1808"/>
      <c r="Z20" s="1808"/>
      <c r="AA20" s="1808"/>
      <c r="AB20" s="1808"/>
      <c r="AC20" s="1808"/>
      <c r="AD20" s="1737"/>
      <c r="AE20" s="1606"/>
      <c r="AF20" s="1606"/>
      <c r="AG20" s="1606"/>
      <c r="AH20" s="1606"/>
      <c r="AI20" s="1737"/>
      <c r="AJ20" s="1737"/>
      <c r="AK20" s="1737"/>
      <c r="AL20" s="1606"/>
      <c r="AM20" s="1606"/>
      <c r="AN20" s="1606"/>
      <c r="AO20" s="1606"/>
      <c r="AP20" s="1606"/>
      <c r="AQ20" s="1606"/>
      <c r="AR20" s="1606"/>
      <c r="AS20" s="1606"/>
      <c r="AT20" s="1737"/>
      <c r="AU20" s="1606"/>
      <c r="AV20" s="1606"/>
      <c r="AW20" s="1606"/>
      <c r="AX20" s="1606"/>
      <c r="AY20" s="1606"/>
      <c r="AZ20" s="1606"/>
      <c r="BA20" s="1606"/>
      <c r="BB20" s="1606"/>
      <c r="BC20" s="868"/>
      <c r="BD20" s="1606"/>
      <c r="BE20" s="1606"/>
      <c r="BF20" s="1606"/>
      <c r="BG20" s="1606"/>
      <c r="BH20" s="1606"/>
      <c r="BI20" s="1606"/>
      <c r="BJ20" s="1606"/>
      <c r="BK20" s="1606"/>
      <c r="BL20" s="1606"/>
      <c r="BM20" s="1606"/>
      <c r="BN20" s="1606"/>
      <c r="BO20" s="1606"/>
      <c r="BP20" s="1606"/>
      <c r="BQ20" s="1606"/>
      <c r="BR20" s="1606"/>
      <c r="BS20" s="1606"/>
      <c r="BT20" s="868"/>
      <c r="BU20" s="1606"/>
      <c r="BV20" s="1606"/>
      <c r="BW20" s="1606"/>
      <c r="BX20" s="1606"/>
      <c r="BY20" s="1606"/>
      <c r="BZ20" s="1606"/>
      <c r="CA20" s="1606"/>
      <c r="CB20" s="1606"/>
      <c r="CC20" s="1606"/>
      <c r="CD20" s="1606"/>
      <c r="CE20" s="1606"/>
      <c r="CF20" s="1606"/>
      <c r="CG20" s="1606"/>
      <c r="CH20" s="1606"/>
      <c r="CI20" s="1606"/>
      <c r="CJ20" s="1606"/>
      <c r="CK20" s="868"/>
      <c r="CL20" s="1606"/>
      <c r="CM20" s="1606"/>
      <c r="CN20" s="1606"/>
      <c r="CO20" s="1606"/>
      <c r="CP20" s="1606"/>
      <c r="CQ20" s="1606"/>
      <c r="CR20" s="1606"/>
      <c r="CS20" s="1606"/>
      <c r="CT20" s="1606"/>
      <c r="CU20" s="1606"/>
      <c r="CV20" s="1606"/>
      <c r="CW20" s="1606"/>
      <c r="CX20" s="1606"/>
      <c r="CY20" s="1606"/>
      <c r="CZ20" s="1606"/>
      <c r="DA20" s="1606"/>
      <c r="DB20" s="868"/>
      <c r="DC20" s="1606"/>
      <c r="DD20" s="1606"/>
      <c r="DE20" s="1606"/>
      <c r="DF20" s="1606"/>
      <c r="DG20" s="1606"/>
      <c r="DH20" s="1606"/>
      <c r="DI20" s="1606"/>
      <c r="DJ20" s="1606"/>
      <c r="DK20" s="1606"/>
      <c r="DL20" s="1606"/>
      <c r="DM20" s="1606"/>
      <c r="DN20" s="1606"/>
      <c r="DO20" s="868"/>
      <c r="DP20" s="1606"/>
      <c r="DQ20" s="1606"/>
      <c r="DR20" s="1606"/>
      <c r="DS20" s="1606"/>
      <c r="DT20" s="1606"/>
      <c r="DU20" s="1606"/>
      <c r="DV20" s="1606"/>
      <c r="DW20" s="1606"/>
      <c r="DX20" s="1606"/>
      <c r="DY20" s="1606"/>
      <c r="DZ20" s="1606"/>
      <c r="EA20" s="1606"/>
      <c r="EB20" s="868"/>
      <c r="EC20" s="1606"/>
      <c r="ED20" s="1606"/>
      <c r="EE20" s="1606"/>
      <c r="EF20" s="1606"/>
      <c r="EG20" s="1606"/>
      <c r="EH20" s="1606"/>
      <c r="EI20" s="1606"/>
      <c r="EJ20" s="1606"/>
      <c r="EK20" s="1606"/>
      <c r="EL20" s="1606"/>
      <c r="EM20" s="1606"/>
      <c r="EN20" s="1606"/>
      <c r="EO20" s="1606"/>
      <c r="EP20" s="1473"/>
      <c r="EQ20" s="1473"/>
      <c r="ER20" s="1473"/>
      <c r="ES20" s="1473"/>
      <c r="ET20" s="1473"/>
    </row>
    <row r="21" spans="1:150" ht="18.2" customHeight="1">
      <c r="A21" s="1868" t="s">
        <v>776</v>
      </c>
      <c r="B21" s="770"/>
      <c r="C21" s="1060"/>
      <c r="D21" s="770"/>
      <c r="E21" s="770"/>
      <c r="F21" s="1405"/>
      <c r="G21" s="1405"/>
      <c r="H21" s="1473"/>
      <c r="I21" s="1405"/>
      <c r="J21" s="1405"/>
      <c r="K21" s="1405"/>
      <c r="L21" s="1405"/>
      <c r="M21" s="1405"/>
      <c r="N21" s="1405"/>
      <c r="O21" s="1405"/>
      <c r="P21" s="1405"/>
      <c r="Q21" s="1808"/>
      <c r="R21" s="1808"/>
      <c r="S21" s="1808"/>
      <c r="T21" s="1808"/>
      <c r="U21" s="1808"/>
      <c r="V21" s="1808"/>
      <c r="W21" s="1808"/>
      <c r="X21" s="1808"/>
      <c r="Y21" s="1808"/>
      <c r="Z21" s="1808"/>
      <c r="AA21" s="1808"/>
      <c r="AB21" s="1808"/>
      <c r="AC21" s="1808"/>
      <c r="AD21" s="1737"/>
      <c r="AE21" s="1606"/>
      <c r="AF21" s="1606"/>
      <c r="AG21" s="1606"/>
      <c r="AH21" s="1606"/>
      <c r="AI21" s="1737"/>
      <c r="AJ21" s="1737"/>
      <c r="AK21" s="1737"/>
      <c r="AL21" s="1606"/>
      <c r="AM21" s="1606"/>
      <c r="AN21" s="1606"/>
      <c r="AO21" s="1606"/>
      <c r="AP21" s="1606"/>
      <c r="AQ21" s="1606"/>
      <c r="AR21" s="1606"/>
      <c r="AS21" s="1606"/>
      <c r="AT21" s="1737"/>
      <c r="AU21" s="1606"/>
      <c r="AV21" s="1606"/>
      <c r="AW21" s="1606"/>
      <c r="AX21" s="1606"/>
      <c r="AY21" s="1606"/>
      <c r="AZ21" s="1606"/>
      <c r="BA21" s="1606"/>
      <c r="BB21" s="1606"/>
      <c r="BC21" s="868"/>
      <c r="BD21" s="1870"/>
      <c r="BE21" s="1870"/>
      <c r="BF21" s="1870"/>
      <c r="BG21" s="1870"/>
      <c r="BH21" s="1870"/>
      <c r="BI21" s="1870"/>
      <c r="BJ21" s="1870"/>
      <c r="BK21" s="1870"/>
      <c r="BL21" s="1870"/>
      <c r="BM21" s="1870"/>
      <c r="BN21" s="1870"/>
      <c r="BO21" s="1870"/>
      <c r="BP21" s="1870"/>
      <c r="BQ21" s="1870"/>
      <c r="BR21" s="1870"/>
      <c r="BS21" s="1870"/>
      <c r="BT21" s="868"/>
      <c r="BU21" s="1870"/>
      <c r="BV21" s="1870"/>
      <c r="BW21" s="1870"/>
      <c r="BX21" s="1870"/>
      <c r="BY21" s="1870"/>
      <c r="BZ21" s="1870"/>
      <c r="CA21" s="1870"/>
      <c r="CB21" s="1870"/>
      <c r="CC21" s="1870"/>
      <c r="CD21" s="1870"/>
      <c r="CE21" s="1870"/>
      <c r="CF21" s="1870"/>
      <c r="CG21" s="1870"/>
      <c r="CH21" s="1870"/>
      <c r="CI21" s="1870"/>
      <c r="CJ21" s="1870"/>
      <c r="CK21" s="868"/>
      <c r="CL21" s="1870"/>
      <c r="CM21" s="1870"/>
      <c r="CN21" s="1870"/>
      <c r="CO21" s="1870"/>
      <c r="CP21" s="1870"/>
      <c r="CQ21" s="1870"/>
      <c r="CR21" s="1870"/>
      <c r="CS21" s="1870"/>
      <c r="CT21" s="1870"/>
      <c r="CU21" s="1870"/>
      <c r="CV21" s="1870"/>
      <c r="CW21" s="1870"/>
      <c r="CX21" s="1870"/>
      <c r="CY21" s="1870"/>
      <c r="CZ21" s="1870"/>
      <c r="DA21" s="1870"/>
      <c r="DB21" s="868"/>
      <c r="DC21" s="1870"/>
      <c r="DD21" s="1870"/>
      <c r="DE21" s="1870"/>
      <c r="DF21" s="1870"/>
      <c r="DG21" s="1870"/>
      <c r="DH21" s="1870"/>
      <c r="DI21" s="1870"/>
      <c r="DJ21" s="1870"/>
      <c r="DK21" s="1870"/>
      <c r="DL21" s="1870"/>
      <c r="DM21" s="1870"/>
      <c r="DN21" s="1870"/>
      <c r="DO21" s="868"/>
      <c r="DP21" s="1870"/>
      <c r="DQ21" s="1870"/>
      <c r="DR21" s="1870"/>
      <c r="DS21" s="1870"/>
      <c r="DT21" s="1870"/>
      <c r="DU21" s="1870"/>
      <c r="DV21" s="1870"/>
      <c r="DW21" s="1870"/>
      <c r="DX21" s="1870"/>
      <c r="DY21" s="1870"/>
      <c r="DZ21" s="1870"/>
      <c r="EA21" s="1870"/>
      <c r="EB21" s="868"/>
      <c r="EC21" s="1870"/>
      <c r="ED21" s="1870"/>
      <c r="EE21" s="1870"/>
      <c r="EF21" s="1870"/>
      <c r="EG21" s="1870"/>
      <c r="EH21" s="1870"/>
      <c r="EI21" s="1870"/>
      <c r="EJ21" s="1870"/>
      <c r="EK21" s="1870"/>
      <c r="EL21" s="1870"/>
      <c r="EM21" s="1870"/>
      <c r="EN21" s="1870"/>
      <c r="EO21" s="1606"/>
      <c r="EP21" s="1473"/>
      <c r="EQ21" s="1473"/>
      <c r="ER21" s="1473"/>
      <c r="ES21" s="1473"/>
      <c r="ET21" s="1473"/>
    </row>
    <row r="22" spans="1:150" ht="18.2" customHeight="1">
      <c r="A22" s="1868" t="s">
        <v>1371</v>
      </c>
      <c r="B22" s="770"/>
      <c r="C22" s="1060"/>
      <c r="D22" s="770"/>
      <c r="E22" s="770"/>
      <c r="F22" s="1405"/>
      <c r="G22" s="1405"/>
      <c r="H22" s="1473"/>
      <c r="I22" s="1405"/>
      <c r="J22" s="1405"/>
      <c r="K22" s="1405"/>
      <c r="L22" s="1405"/>
      <c r="M22" s="1405"/>
      <c r="N22" s="1405"/>
      <c r="O22" s="1405"/>
      <c r="P22" s="1405"/>
      <c r="Q22" s="1808"/>
      <c r="R22" s="1808"/>
      <c r="S22" s="1808"/>
      <c r="T22" s="1808"/>
      <c r="U22" s="1808"/>
      <c r="V22" s="1808"/>
      <c r="W22" s="1808"/>
      <c r="X22" s="1808"/>
      <c r="Y22" s="1808"/>
      <c r="Z22" s="1808"/>
      <c r="AA22" s="1808"/>
      <c r="AB22" s="1808"/>
      <c r="AC22" s="1808"/>
      <c r="AD22" s="1737"/>
      <c r="AE22" s="1606"/>
      <c r="AF22" s="1606"/>
      <c r="AG22" s="1606"/>
      <c r="AH22" s="1606"/>
      <c r="AI22" s="1737"/>
      <c r="AJ22" s="1737"/>
      <c r="AK22" s="1737"/>
      <c r="AL22" s="1606"/>
      <c r="AM22" s="1606"/>
      <c r="AN22" s="1606"/>
      <c r="AO22" s="1606"/>
      <c r="AP22" s="1606"/>
      <c r="AQ22" s="1606"/>
      <c r="AR22" s="1606"/>
      <c r="AS22" s="1606"/>
      <c r="AT22" s="1737"/>
      <c r="AU22" s="1606"/>
      <c r="AV22" s="1606"/>
      <c r="AW22" s="1606"/>
      <c r="AX22" s="1606"/>
      <c r="AY22" s="1606"/>
      <c r="AZ22" s="1606"/>
      <c r="BA22" s="1606"/>
      <c r="BB22" s="1606"/>
      <c r="BC22" s="868"/>
      <c r="BD22" s="1870"/>
      <c r="BE22" s="1870"/>
      <c r="BF22" s="1870"/>
      <c r="BG22" s="1870"/>
      <c r="BH22" s="1870"/>
      <c r="BI22" s="1870"/>
      <c r="BJ22" s="1870"/>
      <c r="BK22" s="1870"/>
      <c r="BL22" s="1870"/>
      <c r="BM22" s="1870"/>
      <c r="BN22" s="1870"/>
      <c r="BO22" s="1870"/>
      <c r="BP22" s="1870"/>
      <c r="BQ22" s="1870"/>
      <c r="BR22" s="1870"/>
      <c r="BS22" s="1870"/>
      <c r="BT22" s="868"/>
      <c r="BU22" s="1870"/>
      <c r="BV22" s="1870"/>
      <c r="BW22" s="1870"/>
      <c r="BX22" s="1870"/>
      <c r="BY22" s="1870"/>
      <c r="BZ22" s="1870"/>
      <c r="CA22" s="1870"/>
      <c r="CB22" s="1870"/>
      <c r="CC22" s="1870"/>
      <c r="CD22" s="1870"/>
      <c r="CE22" s="1870"/>
      <c r="CF22" s="1870"/>
      <c r="CG22" s="1870"/>
      <c r="CH22" s="1870"/>
      <c r="CI22" s="1870"/>
      <c r="CJ22" s="1870"/>
      <c r="CK22" s="868"/>
      <c r="CL22" s="1870"/>
      <c r="CM22" s="1870"/>
      <c r="CN22" s="1870"/>
      <c r="CO22" s="1870"/>
      <c r="CP22" s="1870"/>
      <c r="CQ22" s="1870"/>
      <c r="CR22" s="1870"/>
      <c r="CS22" s="1870"/>
      <c r="CT22" s="1870"/>
      <c r="CU22" s="1870"/>
      <c r="CV22" s="1870"/>
      <c r="CW22" s="1870"/>
      <c r="CX22" s="1870"/>
      <c r="CY22" s="1870"/>
      <c r="CZ22" s="1870"/>
      <c r="DA22" s="1870"/>
      <c r="DB22" s="868"/>
      <c r="DC22" s="1870"/>
      <c r="DD22" s="1870"/>
      <c r="DE22" s="1870"/>
      <c r="DF22" s="1870"/>
      <c r="DG22" s="1870"/>
      <c r="DH22" s="1870"/>
      <c r="DI22" s="1870"/>
      <c r="DJ22" s="1870"/>
      <c r="DK22" s="1870"/>
      <c r="DL22" s="1870"/>
      <c r="DM22" s="1870"/>
      <c r="DN22" s="1870"/>
      <c r="DO22" s="868"/>
      <c r="DP22" s="1870"/>
      <c r="DQ22" s="1870"/>
      <c r="DR22" s="1870"/>
      <c r="DS22" s="1870"/>
      <c r="DT22" s="1870"/>
      <c r="DU22" s="1870"/>
      <c r="DV22" s="1870"/>
      <c r="DW22" s="1870"/>
      <c r="DX22" s="1870"/>
      <c r="DY22" s="1870"/>
      <c r="DZ22" s="1870"/>
      <c r="EA22" s="1870"/>
      <c r="EB22" s="868"/>
      <c r="EC22" s="1870"/>
      <c r="ED22" s="1870"/>
      <c r="EE22" s="1870"/>
      <c r="EF22" s="1870"/>
      <c r="EG22" s="1870"/>
      <c r="EH22" s="1870"/>
      <c r="EI22" s="1870"/>
      <c r="EJ22" s="1870"/>
      <c r="EK22" s="1870"/>
      <c r="EL22" s="1870"/>
      <c r="EM22" s="1870"/>
      <c r="EN22" s="1870"/>
      <c r="EO22" s="1606"/>
      <c r="EP22" s="1473"/>
      <c r="EQ22" s="1473"/>
      <c r="ER22" s="1473"/>
      <c r="ES22" s="1473"/>
      <c r="ET22" s="1473"/>
    </row>
    <row r="23" spans="1:150" ht="18.2" customHeight="1">
      <c r="A23" s="1868" t="s">
        <v>1375</v>
      </c>
      <c r="B23" s="770"/>
      <c r="C23" s="1060"/>
      <c r="D23" s="770"/>
      <c r="E23" s="770"/>
      <c r="F23" s="1405"/>
      <c r="G23" s="1405"/>
      <c r="H23" s="1473"/>
      <c r="I23" s="1405"/>
      <c r="J23" s="1405"/>
      <c r="K23" s="1405"/>
      <c r="L23" s="1405"/>
      <c r="M23" s="1405"/>
      <c r="N23" s="1405"/>
      <c r="O23" s="1405"/>
      <c r="P23" s="1405"/>
      <c r="Q23" s="1808"/>
      <c r="R23" s="1808"/>
      <c r="S23" s="1808"/>
      <c r="T23" s="1808"/>
      <c r="U23" s="1808"/>
      <c r="V23" s="1808"/>
      <c r="W23" s="1808"/>
      <c r="X23" s="1808"/>
      <c r="Y23" s="1808"/>
      <c r="Z23" s="1808"/>
      <c r="AA23" s="1808"/>
      <c r="AB23" s="1808"/>
      <c r="AC23" s="1808"/>
      <c r="AD23" s="1737"/>
      <c r="AE23" s="1606"/>
      <c r="AF23" s="1606"/>
      <c r="AG23" s="1606"/>
      <c r="AH23" s="1606"/>
      <c r="AI23" s="1737"/>
      <c r="AJ23" s="1737"/>
      <c r="AK23" s="1737"/>
      <c r="AL23" s="1606"/>
      <c r="AM23" s="1606"/>
      <c r="AN23" s="1606"/>
      <c r="AO23" s="1606"/>
      <c r="AP23" s="1606"/>
      <c r="AQ23" s="1606"/>
      <c r="AR23" s="1606"/>
      <c r="AS23" s="1606"/>
      <c r="AT23" s="1737"/>
      <c r="AU23" s="1606"/>
      <c r="AV23" s="1606"/>
      <c r="AW23" s="1606"/>
      <c r="AX23" s="1606"/>
      <c r="AY23" s="1606"/>
      <c r="AZ23" s="1606"/>
      <c r="BA23" s="1606"/>
      <c r="BB23" s="1606"/>
      <c r="BC23" s="868"/>
      <c r="BD23" s="1870"/>
      <c r="BE23" s="1870"/>
      <c r="BF23" s="1870"/>
      <c r="BG23" s="1870"/>
      <c r="BH23" s="1870"/>
      <c r="BI23" s="1870"/>
      <c r="BJ23" s="1870"/>
      <c r="BK23" s="1870"/>
      <c r="BL23" s="1870"/>
      <c r="BM23" s="1870"/>
      <c r="BN23" s="1870"/>
      <c r="BO23" s="1870"/>
      <c r="BP23" s="1870"/>
      <c r="BQ23" s="1870"/>
      <c r="BR23" s="1870"/>
      <c r="BS23" s="1870"/>
      <c r="BT23" s="868"/>
      <c r="BU23" s="1870"/>
      <c r="BV23" s="1870"/>
      <c r="BW23" s="1870"/>
      <c r="BX23" s="1870"/>
      <c r="BY23" s="1870"/>
      <c r="BZ23" s="1870"/>
      <c r="CA23" s="1870"/>
      <c r="CB23" s="1870"/>
      <c r="CC23" s="1870"/>
      <c r="CD23" s="1870"/>
      <c r="CE23" s="1870"/>
      <c r="CF23" s="1870"/>
      <c r="CG23" s="1870"/>
      <c r="CH23" s="1870"/>
      <c r="CI23" s="1870"/>
      <c r="CJ23" s="1870"/>
      <c r="CK23" s="868"/>
      <c r="CL23" s="1870"/>
      <c r="CM23" s="1870"/>
      <c r="CN23" s="1870"/>
      <c r="CO23" s="1870"/>
      <c r="CP23" s="1870"/>
      <c r="CQ23" s="1870"/>
      <c r="CR23" s="1870"/>
      <c r="CS23" s="1870"/>
      <c r="CT23" s="1870"/>
      <c r="CU23" s="1870"/>
      <c r="CV23" s="1870"/>
      <c r="CW23" s="1870"/>
      <c r="CX23" s="1870"/>
      <c r="CY23" s="1870"/>
      <c r="CZ23" s="1870"/>
      <c r="DA23" s="1870"/>
      <c r="DB23" s="868"/>
      <c r="DC23" s="1870"/>
      <c r="DD23" s="1870"/>
      <c r="DE23" s="1870"/>
      <c r="DF23" s="1870"/>
      <c r="DG23" s="1870"/>
      <c r="DH23" s="1870"/>
      <c r="DI23" s="1870"/>
      <c r="DJ23" s="1870"/>
      <c r="DK23" s="1870"/>
      <c r="DL23" s="1870"/>
      <c r="DM23" s="1870"/>
      <c r="DN23" s="1870"/>
      <c r="DO23" s="868"/>
      <c r="DP23" s="1870"/>
      <c r="DQ23" s="1870"/>
      <c r="DR23" s="1870"/>
      <c r="DS23" s="1870"/>
      <c r="DT23" s="1870"/>
      <c r="DU23" s="1870"/>
      <c r="DV23" s="1870"/>
      <c r="DW23" s="1870"/>
      <c r="DX23" s="1870"/>
      <c r="DY23" s="1870"/>
      <c r="DZ23" s="1870"/>
      <c r="EA23" s="1870"/>
      <c r="EB23" s="868"/>
      <c r="EC23" s="1870"/>
      <c r="ED23" s="1870"/>
      <c r="EE23" s="1870"/>
      <c r="EF23" s="1870"/>
      <c r="EG23" s="1870"/>
      <c r="EH23" s="1870"/>
      <c r="EI23" s="1870"/>
      <c r="EJ23" s="1870"/>
      <c r="EK23" s="1870"/>
      <c r="EL23" s="1870"/>
      <c r="EM23" s="1870"/>
      <c r="EN23" s="1870"/>
      <c r="EO23" s="1606"/>
      <c r="EP23" s="1473"/>
      <c r="EQ23" s="1473"/>
      <c r="ER23" s="1473"/>
      <c r="ES23" s="1473"/>
      <c r="ET23" s="1473"/>
    </row>
    <row r="24" spans="1:150" ht="18.2" customHeight="1">
      <c r="A24" s="1868" t="s">
        <v>1377</v>
      </c>
      <c r="B24" s="770"/>
      <c r="C24" s="1060"/>
      <c r="D24" s="770"/>
      <c r="E24" s="770"/>
      <c r="F24" s="1405"/>
      <c r="G24" s="1405"/>
      <c r="H24" s="1473"/>
      <c r="I24" s="1405"/>
      <c r="J24" s="1405"/>
      <c r="K24" s="1405"/>
      <c r="L24" s="1405"/>
      <c r="M24" s="1405"/>
      <c r="N24" s="1405"/>
      <c r="O24" s="1405"/>
      <c r="P24" s="1405"/>
      <c r="Q24" s="1808"/>
      <c r="R24" s="1808"/>
      <c r="S24" s="1808"/>
      <c r="T24" s="1808"/>
      <c r="U24" s="1808"/>
      <c r="V24" s="1808"/>
      <c r="W24" s="1808"/>
      <c r="X24" s="1808"/>
      <c r="Y24" s="1808"/>
      <c r="Z24" s="1808"/>
      <c r="AA24" s="1808"/>
      <c r="AB24" s="1808"/>
      <c r="AC24" s="1808"/>
      <c r="AD24" s="1737"/>
      <c r="AE24" s="1606"/>
      <c r="AF24" s="1606"/>
      <c r="AG24" s="1606"/>
      <c r="AH24" s="1606"/>
      <c r="AI24" s="1737"/>
      <c r="AJ24" s="1737"/>
      <c r="AK24" s="1737"/>
      <c r="AL24" s="1606"/>
      <c r="AM24" s="1606"/>
      <c r="AN24" s="1606"/>
      <c r="AO24" s="1606"/>
      <c r="AP24" s="1606"/>
      <c r="AQ24" s="1606"/>
      <c r="AR24" s="1606"/>
      <c r="AS24" s="1606"/>
      <c r="AT24" s="1737"/>
      <c r="AU24" s="1606"/>
      <c r="AV24" s="1606"/>
      <c r="AW24" s="1606"/>
      <c r="AX24" s="1606"/>
      <c r="AY24" s="1606"/>
      <c r="AZ24" s="1606"/>
      <c r="BA24" s="1606"/>
      <c r="BB24" s="1606"/>
      <c r="BC24" s="868"/>
      <c r="BD24" s="1870"/>
      <c r="BE24" s="1870"/>
      <c r="BF24" s="1870"/>
      <c r="BG24" s="1870"/>
      <c r="BH24" s="1870"/>
      <c r="BI24" s="1870"/>
      <c r="BJ24" s="1870"/>
      <c r="BK24" s="1870"/>
      <c r="BL24" s="1870"/>
      <c r="BM24" s="1870"/>
      <c r="BN24" s="1870"/>
      <c r="BO24" s="1870"/>
      <c r="BP24" s="1870"/>
      <c r="BQ24" s="1870"/>
      <c r="BR24" s="1870"/>
      <c r="BS24" s="1870"/>
      <c r="BT24" s="868"/>
      <c r="BU24" s="1870"/>
      <c r="BV24" s="1870"/>
      <c r="BW24" s="1870"/>
      <c r="BX24" s="1870"/>
      <c r="BY24" s="1870"/>
      <c r="BZ24" s="1870"/>
      <c r="CA24" s="1870"/>
      <c r="CB24" s="1870"/>
      <c r="CC24" s="1870"/>
      <c r="CD24" s="1870"/>
      <c r="CE24" s="1870"/>
      <c r="CF24" s="1870"/>
      <c r="CG24" s="1870"/>
      <c r="CH24" s="1870"/>
      <c r="CI24" s="1870"/>
      <c r="CJ24" s="1870"/>
      <c r="CK24" s="868"/>
      <c r="CL24" s="1870"/>
      <c r="CM24" s="1870"/>
      <c r="CN24" s="1870"/>
      <c r="CO24" s="1870"/>
      <c r="CP24" s="1870"/>
      <c r="CQ24" s="1870"/>
      <c r="CR24" s="1870"/>
      <c r="CS24" s="1870"/>
      <c r="CT24" s="1870"/>
      <c r="CU24" s="1870"/>
      <c r="CV24" s="1870"/>
      <c r="CW24" s="1870"/>
      <c r="CX24" s="1870"/>
      <c r="CY24" s="1870"/>
      <c r="CZ24" s="1870"/>
      <c r="DA24" s="1870"/>
      <c r="DB24" s="868"/>
      <c r="DC24" s="1870"/>
      <c r="DD24" s="1870"/>
      <c r="DE24" s="1870"/>
      <c r="DF24" s="1870"/>
      <c r="DG24" s="1870"/>
      <c r="DH24" s="1870"/>
      <c r="DI24" s="1870"/>
      <c r="DJ24" s="1870"/>
      <c r="DK24" s="1870"/>
      <c r="DL24" s="1870"/>
      <c r="DM24" s="1870"/>
      <c r="DN24" s="1870"/>
      <c r="DO24" s="868"/>
      <c r="DP24" s="1870"/>
      <c r="DQ24" s="1870"/>
      <c r="DR24" s="1870"/>
      <c r="DS24" s="1870"/>
      <c r="DT24" s="1870"/>
      <c r="DU24" s="1870"/>
      <c r="DV24" s="1870"/>
      <c r="DW24" s="1870"/>
      <c r="DX24" s="1870"/>
      <c r="DY24" s="1870"/>
      <c r="DZ24" s="1870"/>
      <c r="EA24" s="1870"/>
      <c r="EB24" s="868"/>
      <c r="EC24" s="1870"/>
      <c r="ED24" s="1870"/>
      <c r="EE24" s="1870"/>
      <c r="EF24" s="1870"/>
      <c r="EG24" s="1870"/>
      <c r="EH24" s="1870"/>
      <c r="EI24" s="1870"/>
      <c r="EJ24" s="1870"/>
      <c r="EK24" s="1870"/>
      <c r="EL24" s="1870"/>
      <c r="EM24" s="1870"/>
      <c r="EN24" s="1870"/>
      <c r="EO24" s="1606"/>
      <c r="EP24" s="1473"/>
      <c r="EQ24" s="1473"/>
      <c r="ER24" s="1473"/>
      <c r="ES24" s="1473"/>
      <c r="ET24" s="1473"/>
    </row>
    <row r="25" spans="1:150" ht="18.2" customHeight="1">
      <c r="A25" s="1868" t="s">
        <v>1379</v>
      </c>
      <c r="B25" s="770"/>
      <c r="C25" s="1060"/>
      <c r="D25" s="770"/>
      <c r="E25" s="770"/>
      <c r="F25" s="1405"/>
      <c r="G25" s="1405"/>
      <c r="H25" s="1473"/>
      <c r="I25" s="1405"/>
      <c r="J25" s="1405"/>
      <c r="K25" s="1405"/>
      <c r="L25" s="1405"/>
      <c r="M25" s="1405"/>
      <c r="N25" s="1405"/>
      <c r="O25" s="1405"/>
      <c r="P25" s="1405"/>
      <c r="Q25" s="1808"/>
      <c r="R25" s="1808"/>
      <c r="S25" s="1808"/>
      <c r="T25" s="1808"/>
      <c r="U25" s="1808"/>
      <c r="V25" s="1808"/>
      <c r="W25" s="1808"/>
      <c r="X25" s="1808"/>
      <c r="Y25" s="1808"/>
      <c r="Z25" s="1808"/>
      <c r="AA25" s="1808"/>
      <c r="AB25" s="1808"/>
      <c r="AC25" s="1808"/>
      <c r="AD25" s="1737"/>
      <c r="AE25" s="1606"/>
      <c r="AF25" s="1606"/>
      <c r="AG25" s="1606"/>
      <c r="AH25" s="1606"/>
      <c r="AI25" s="1737"/>
      <c r="AJ25" s="1737"/>
      <c r="AK25" s="1737"/>
      <c r="AL25" s="1606"/>
      <c r="AM25" s="1606"/>
      <c r="AN25" s="1606"/>
      <c r="AO25" s="1606"/>
      <c r="AP25" s="1606"/>
      <c r="AQ25" s="1606"/>
      <c r="AR25" s="1606"/>
      <c r="AS25" s="1606"/>
      <c r="AT25" s="1737"/>
      <c r="AU25" s="1606"/>
      <c r="AV25" s="1606"/>
      <c r="AW25" s="1606"/>
      <c r="AX25" s="1606"/>
      <c r="AY25" s="1606"/>
      <c r="AZ25" s="1606"/>
      <c r="BA25" s="1606"/>
      <c r="BB25" s="1606"/>
      <c r="BC25" s="868"/>
      <c r="BD25" s="1870"/>
      <c r="BE25" s="1870"/>
      <c r="BF25" s="1870"/>
      <c r="BG25" s="1870"/>
      <c r="BH25" s="1870"/>
      <c r="BI25" s="1870"/>
      <c r="BJ25" s="1870"/>
      <c r="BK25" s="1870"/>
      <c r="BL25" s="1870"/>
      <c r="BM25" s="1870"/>
      <c r="BN25" s="1870"/>
      <c r="BO25" s="1870"/>
      <c r="BP25" s="1870"/>
      <c r="BQ25" s="1870"/>
      <c r="BR25" s="1870"/>
      <c r="BS25" s="1870"/>
      <c r="BT25" s="868"/>
      <c r="BU25" s="1870"/>
      <c r="BV25" s="1870"/>
      <c r="BW25" s="1870"/>
      <c r="BX25" s="1870"/>
      <c r="BY25" s="1870"/>
      <c r="BZ25" s="1870"/>
      <c r="CA25" s="1870"/>
      <c r="CB25" s="1870"/>
      <c r="CC25" s="1870"/>
      <c r="CD25" s="1870"/>
      <c r="CE25" s="1870"/>
      <c r="CF25" s="1870"/>
      <c r="CG25" s="1870"/>
      <c r="CH25" s="1870"/>
      <c r="CI25" s="1870"/>
      <c r="CJ25" s="1870"/>
      <c r="CK25" s="868"/>
      <c r="CL25" s="1870"/>
      <c r="CM25" s="1870"/>
      <c r="CN25" s="1870"/>
      <c r="CO25" s="1870"/>
      <c r="CP25" s="1870"/>
      <c r="CQ25" s="1870"/>
      <c r="CR25" s="1870"/>
      <c r="CS25" s="1870"/>
      <c r="CT25" s="1870"/>
      <c r="CU25" s="1870"/>
      <c r="CV25" s="1870"/>
      <c r="CW25" s="1870"/>
      <c r="CX25" s="1870"/>
      <c r="CY25" s="1870"/>
      <c r="CZ25" s="1870"/>
      <c r="DA25" s="1870"/>
      <c r="DB25" s="868"/>
      <c r="DC25" s="1870"/>
      <c r="DD25" s="1870"/>
      <c r="DE25" s="1870"/>
      <c r="DF25" s="1870"/>
      <c r="DG25" s="1870"/>
      <c r="DH25" s="1870"/>
      <c r="DI25" s="1870"/>
      <c r="DJ25" s="1870"/>
      <c r="DK25" s="1870"/>
      <c r="DL25" s="1870"/>
      <c r="DM25" s="1870"/>
      <c r="DN25" s="1870"/>
      <c r="DO25" s="868"/>
      <c r="DP25" s="1870"/>
      <c r="DQ25" s="1870"/>
      <c r="DR25" s="1870"/>
      <c r="DS25" s="1870"/>
      <c r="DT25" s="1870"/>
      <c r="DU25" s="1870"/>
      <c r="DV25" s="1870"/>
      <c r="DW25" s="1870"/>
      <c r="DX25" s="1870"/>
      <c r="DY25" s="1870"/>
      <c r="DZ25" s="1870"/>
      <c r="EA25" s="1870"/>
      <c r="EB25" s="868"/>
      <c r="EC25" s="1870"/>
      <c r="ED25" s="1870"/>
      <c r="EE25" s="1870"/>
      <c r="EF25" s="1870"/>
      <c r="EG25" s="1870"/>
      <c r="EH25" s="1870"/>
      <c r="EI25" s="1870"/>
      <c r="EJ25" s="1870"/>
      <c r="EK25" s="1870"/>
      <c r="EL25" s="1870"/>
      <c r="EM25" s="1870"/>
      <c r="EN25" s="1870"/>
      <c r="EO25" s="1606"/>
      <c r="EP25" s="1473"/>
      <c r="EQ25" s="1473"/>
      <c r="ER25" s="1473"/>
      <c r="ES25" s="1473"/>
      <c r="ET25" s="1473"/>
    </row>
    <row r="26" spans="1:150" ht="18.2" customHeight="1">
      <c r="A26" s="1868" t="s">
        <v>1382</v>
      </c>
      <c r="B26" s="770"/>
      <c r="C26" s="1060"/>
      <c r="D26" s="770"/>
      <c r="E26" s="770"/>
      <c r="F26" s="1405"/>
      <c r="G26" s="1405"/>
      <c r="H26" s="1473"/>
      <c r="I26" s="1405"/>
      <c r="J26" s="1405"/>
      <c r="K26" s="1405"/>
      <c r="L26" s="1405"/>
      <c r="M26" s="1405"/>
      <c r="N26" s="1405"/>
      <c r="O26" s="1405"/>
      <c r="P26" s="1405"/>
      <c r="Q26" s="1808"/>
      <c r="R26" s="1808"/>
      <c r="S26" s="1808"/>
      <c r="T26" s="1808"/>
      <c r="U26" s="1808"/>
      <c r="V26" s="1808"/>
      <c r="W26" s="1808"/>
      <c r="X26" s="1808"/>
      <c r="Y26" s="1808"/>
      <c r="Z26" s="1808"/>
      <c r="AA26" s="1808"/>
      <c r="AB26" s="1808"/>
      <c r="AC26" s="1808"/>
      <c r="AD26" s="1737"/>
      <c r="AE26" s="1606"/>
      <c r="AF26" s="1606"/>
      <c r="AG26" s="1606"/>
      <c r="AH26" s="1606"/>
      <c r="AI26" s="1737"/>
      <c r="AJ26" s="1737"/>
      <c r="AK26" s="1737"/>
      <c r="AL26" s="1606"/>
      <c r="AM26" s="1606"/>
      <c r="AN26" s="1606"/>
      <c r="AO26" s="1606"/>
      <c r="AP26" s="1606"/>
      <c r="AQ26" s="1606"/>
      <c r="AR26" s="1606"/>
      <c r="AS26" s="1606"/>
      <c r="AT26" s="1737"/>
      <c r="AU26" s="1606"/>
      <c r="AV26" s="1606"/>
      <c r="AW26" s="1606"/>
      <c r="AX26" s="1606"/>
      <c r="AY26" s="1606"/>
      <c r="AZ26" s="1606"/>
      <c r="BA26" s="1606"/>
      <c r="BB26" s="1606"/>
      <c r="BC26" s="868"/>
      <c r="BD26" s="1870"/>
      <c r="BE26" s="1870"/>
      <c r="BF26" s="1870"/>
      <c r="BG26" s="1870"/>
      <c r="BH26" s="1870"/>
      <c r="BI26" s="1870"/>
      <c r="BJ26" s="1870"/>
      <c r="BK26" s="1870"/>
      <c r="BL26" s="1870"/>
      <c r="BM26" s="1870"/>
      <c r="BN26" s="1870"/>
      <c r="BO26" s="1870"/>
      <c r="BP26" s="1870"/>
      <c r="BQ26" s="1870"/>
      <c r="BR26" s="1870"/>
      <c r="BS26" s="1870"/>
      <c r="BT26" s="868"/>
      <c r="BU26" s="1870"/>
      <c r="BV26" s="1870"/>
      <c r="BW26" s="1870"/>
      <c r="BX26" s="1870"/>
      <c r="BY26" s="1870"/>
      <c r="BZ26" s="1870"/>
      <c r="CA26" s="1870"/>
      <c r="CB26" s="1870"/>
      <c r="CC26" s="1870"/>
      <c r="CD26" s="1870"/>
      <c r="CE26" s="1870"/>
      <c r="CF26" s="1870"/>
      <c r="CG26" s="1870"/>
      <c r="CH26" s="1870"/>
      <c r="CI26" s="1870"/>
      <c r="CJ26" s="1870"/>
      <c r="CK26" s="868"/>
      <c r="CL26" s="1870"/>
      <c r="CM26" s="1870"/>
      <c r="CN26" s="1870"/>
      <c r="CO26" s="1870"/>
      <c r="CP26" s="1870"/>
      <c r="CQ26" s="1870"/>
      <c r="CR26" s="1870"/>
      <c r="CS26" s="1870"/>
      <c r="CT26" s="1870"/>
      <c r="CU26" s="1870"/>
      <c r="CV26" s="1870"/>
      <c r="CW26" s="1870"/>
      <c r="CX26" s="1870"/>
      <c r="CY26" s="1870"/>
      <c r="CZ26" s="1870"/>
      <c r="DA26" s="1870"/>
      <c r="DB26" s="868"/>
      <c r="DC26" s="1870"/>
      <c r="DD26" s="1870"/>
      <c r="DE26" s="1870"/>
      <c r="DF26" s="1870"/>
      <c r="DG26" s="1870"/>
      <c r="DH26" s="1870"/>
      <c r="DI26" s="1870"/>
      <c r="DJ26" s="1870"/>
      <c r="DK26" s="1870"/>
      <c r="DL26" s="1870"/>
      <c r="DM26" s="1870"/>
      <c r="DN26" s="1870"/>
      <c r="DO26" s="868"/>
      <c r="DP26" s="1870"/>
      <c r="DQ26" s="1870"/>
      <c r="DR26" s="1870"/>
      <c r="DS26" s="1870"/>
      <c r="DT26" s="1870"/>
      <c r="DU26" s="1870"/>
      <c r="DV26" s="1870"/>
      <c r="DW26" s="1870"/>
      <c r="DX26" s="1870"/>
      <c r="DY26" s="1870"/>
      <c r="DZ26" s="1870"/>
      <c r="EA26" s="1870"/>
      <c r="EB26" s="868"/>
      <c r="EC26" s="1870"/>
      <c r="ED26" s="1870"/>
      <c r="EE26" s="1870"/>
      <c r="EF26" s="1870"/>
      <c r="EG26" s="1870"/>
      <c r="EH26" s="1870"/>
      <c r="EI26" s="1870"/>
      <c r="EJ26" s="1870"/>
      <c r="EK26" s="1870"/>
      <c r="EL26" s="1870"/>
      <c r="EM26" s="1870"/>
      <c r="EN26" s="1870"/>
      <c r="EO26" s="1606"/>
      <c r="EP26" s="1473"/>
      <c r="EQ26" s="1473"/>
      <c r="ER26" s="1473"/>
      <c r="ES26" s="1473"/>
      <c r="ET26" s="1473"/>
    </row>
    <row r="27" spans="1:150" ht="18.2" customHeight="1">
      <c r="A27" s="1868" t="s">
        <v>1385</v>
      </c>
      <c r="B27" s="770"/>
      <c r="C27" s="1060"/>
      <c r="D27" s="770"/>
      <c r="E27" s="770"/>
      <c r="F27" s="1405"/>
      <c r="G27" s="1405"/>
      <c r="H27" s="1473"/>
      <c r="I27" s="1405"/>
      <c r="J27" s="1405"/>
      <c r="K27" s="1405"/>
      <c r="L27" s="1405"/>
      <c r="M27" s="1405"/>
      <c r="N27" s="1405"/>
      <c r="O27" s="1405"/>
      <c r="P27" s="1405"/>
      <c r="Q27" s="1808"/>
      <c r="R27" s="1808"/>
      <c r="S27" s="1808"/>
      <c r="T27" s="1808"/>
      <c r="U27" s="1808"/>
      <c r="V27" s="1808"/>
      <c r="W27" s="1808"/>
      <c r="X27" s="1808"/>
      <c r="Y27" s="1808"/>
      <c r="Z27" s="1808"/>
      <c r="AA27" s="1808"/>
      <c r="AB27" s="1808"/>
      <c r="AC27" s="1808"/>
      <c r="AD27" s="1737"/>
      <c r="AE27" s="1606"/>
      <c r="AF27" s="1606"/>
      <c r="AG27" s="1606"/>
      <c r="AH27" s="1606"/>
      <c r="AI27" s="1737"/>
      <c r="AJ27" s="1737"/>
      <c r="AK27" s="1737"/>
      <c r="AL27" s="1606"/>
      <c r="AM27" s="1606"/>
      <c r="AN27" s="1606"/>
      <c r="AO27" s="1606"/>
      <c r="AP27" s="1606"/>
      <c r="AQ27" s="1606"/>
      <c r="AR27" s="1606"/>
      <c r="AS27" s="1606"/>
      <c r="AT27" s="1737"/>
      <c r="AU27" s="1606"/>
      <c r="AV27" s="1606"/>
      <c r="AW27" s="1606"/>
      <c r="AX27" s="1606"/>
      <c r="AY27" s="1606"/>
      <c r="AZ27" s="1606"/>
      <c r="BA27" s="1606"/>
      <c r="BB27" s="1606"/>
      <c r="BC27" s="868"/>
      <c r="BD27" s="1870"/>
      <c r="BE27" s="1870"/>
      <c r="BF27" s="1870"/>
      <c r="BG27" s="1870"/>
      <c r="BH27" s="1870"/>
      <c r="BI27" s="1870"/>
      <c r="BJ27" s="1870"/>
      <c r="BK27" s="1870"/>
      <c r="BL27" s="1870"/>
      <c r="BM27" s="1870"/>
      <c r="BN27" s="1870"/>
      <c r="BO27" s="1870"/>
      <c r="BP27" s="1870"/>
      <c r="BQ27" s="1870"/>
      <c r="BR27" s="1870"/>
      <c r="BS27" s="1870"/>
      <c r="BT27" s="868"/>
      <c r="BU27" s="1870"/>
      <c r="BV27" s="1870"/>
      <c r="BW27" s="1870"/>
      <c r="BX27" s="1870"/>
      <c r="BY27" s="1870"/>
      <c r="BZ27" s="1870"/>
      <c r="CA27" s="1870"/>
      <c r="CB27" s="1870"/>
      <c r="CC27" s="1870"/>
      <c r="CD27" s="1870"/>
      <c r="CE27" s="1870"/>
      <c r="CF27" s="1870"/>
      <c r="CG27" s="1870"/>
      <c r="CH27" s="1870"/>
      <c r="CI27" s="1870"/>
      <c r="CJ27" s="1870"/>
      <c r="CK27" s="868"/>
      <c r="CL27" s="1870"/>
      <c r="CM27" s="1870"/>
      <c r="CN27" s="1870"/>
      <c r="CO27" s="1870"/>
      <c r="CP27" s="1870"/>
      <c r="CQ27" s="1870"/>
      <c r="CR27" s="1870"/>
      <c r="CS27" s="1870"/>
      <c r="CT27" s="1870"/>
      <c r="CU27" s="1870"/>
      <c r="CV27" s="1870"/>
      <c r="CW27" s="1870"/>
      <c r="CX27" s="1870"/>
      <c r="CY27" s="1870"/>
      <c r="CZ27" s="1870"/>
      <c r="DA27" s="1870"/>
      <c r="DB27" s="868"/>
      <c r="DC27" s="1870"/>
      <c r="DD27" s="1870"/>
      <c r="DE27" s="1870"/>
      <c r="DF27" s="1870"/>
      <c r="DG27" s="1870"/>
      <c r="DH27" s="1870"/>
      <c r="DI27" s="1870"/>
      <c r="DJ27" s="1870"/>
      <c r="DK27" s="1870"/>
      <c r="DL27" s="1870"/>
      <c r="DM27" s="1870"/>
      <c r="DN27" s="1870"/>
      <c r="DO27" s="868"/>
      <c r="DP27" s="1870"/>
      <c r="DQ27" s="1870"/>
      <c r="DR27" s="1870"/>
      <c r="DS27" s="1870"/>
      <c r="DT27" s="1870"/>
      <c r="DU27" s="1870"/>
      <c r="DV27" s="1870"/>
      <c r="DW27" s="1870"/>
      <c r="DX27" s="1870"/>
      <c r="DY27" s="1870"/>
      <c r="DZ27" s="1870"/>
      <c r="EA27" s="1870"/>
      <c r="EB27" s="868"/>
      <c r="EC27" s="1870"/>
      <c r="ED27" s="1870"/>
      <c r="EE27" s="1870"/>
      <c r="EF27" s="1870"/>
      <c r="EG27" s="1870"/>
      <c r="EH27" s="1870"/>
      <c r="EI27" s="1870"/>
      <c r="EJ27" s="1870"/>
      <c r="EK27" s="1870"/>
      <c r="EL27" s="1870"/>
      <c r="EM27" s="1870"/>
      <c r="EN27" s="1870"/>
      <c r="EO27" s="1606"/>
      <c r="EP27" s="1473"/>
      <c r="EQ27" s="1473"/>
      <c r="ER27" s="1473"/>
      <c r="ES27" s="1473"/>
      <c r="ET27" s="1473"/>
    </row>
    <row r="28" spans="1:150" ht="18.2" customHeight="1">
      <c r="A28" s="1868" t="s">
        <v>1388</v>
      </c>
      <c r="B28" s="770"/>
      <c r="C28" s="1060"/>
      <c r="D28" s="770"/>
      <c r="E28" s="770"/>
      <c r="F28" s="1405"/>
      <c r="G28" s="1405"/>
      <c r="H28" s="1473"/>
      <c r="I28" s="1405"/>
      <c r="J28" s="1405"/>
      <c r="K28" s="1405"/>
      <c r="L28" s="1405"/>
      <c r="M28" s="1405"/>
      <c r="N28" s="1405"/>
      <c r="O28" s="1405"/>
      <c r="P28" s="1405"/>
      <c r="Q28" s="1808"/>
      <c r="R28" s="1808"/>
      <c r="S28" s="1808"/>
      <c r="T28" s="1808"/>
      <c r="U28" s="1808"/>
      <c r="V28" s="1808"/>
      <c r="W28" s="1808"/>
      <c r="X28" s="1808"/>
      <c r="Y28" s="1808"/>
      <c r="Z28" s="1808"/>
      <c r="AA28" s="1808"/>
      <c r="AB28" s="1808"/>
      <c r="AC28" s="1808"/>
      <c r="AD28" s="1737"/>
      <c r="AE28" s="1606"/>
      <c r="AF28" s="1606"/>
      <c r="AG28" s="1606"/>
      <c r="AH28" s="1606"/>
      <c r="AI28" s="1737"/>
      <c r="AJ28" s="1737"/>
      <c r="AK28" s="1737"/>
      <c r="AL28" s="1606"/>
      <c r="AM28" s="1606"/>
      <c r="AN28" s="1606"/>
      <c r="AO28" s="1606"/>
      <c r="AP28" s="1606"/>
      <c r="AQ28" s="1606"/>
      <c r="AR28" s="1606"/>
      <c r="AS28" s="1606"/>
      <c r="AT28" s="1737"/>
      <c r="AU28" s="1606"/>
      <c r="AV28" s="1606"/>
      <c r="AW28" s="1606"/>
      <c r="AX28" s="1606"/>
      <c r="AY28" s="1606"/>
      <c r="AZ28" s="1606"/>
      <c r="BA28" s="1606"/>
      <c r="BB28" s="1606"/>
      <c r="BC28" s="868"/>
      <c r="BD28" s="770"/>
      <c r="BE28" s="770"/>
      <c r="BF28" s="770"/>
      <c r="BG28" s="770"/>
      <c r="BH28" s="770"/>
      <c r="BI28" s="770"/>
      <c r="BJ28" s="770"/>
      <c r="BK28" s="770"/>
      <c r="BL28" s="770"/>
      <c r="BM28" s="770"/>
      <c r="BN28" s="770"/>
      <c r="BO28" s="770"/>
      <c r="BP28" s="770"/>
      <c r="BQ28" s="770"/>
      <c r="BR28" s="770"/>
      <c r="BS28" s="770"/>
      <c r="BT28" s="868"/>
      <c r="BU28" s="770"/>
      <c r="BV28" s="770"/>
      <c r="BW28" s="770"/>
      <c r="BX28" s="770"/>
      <c r="BY28" s="770"/>
      <c r="BZ28" s="770"/>
      <c r="CA28" s="770"/>
      <c r="CB28" s="770"/>
      <c r="CC28" s="770"/>
      <c r="CD28" s="770"/>
      <c r="CE28" s="770"/>
      <c r="CF28" s="770"/>
      <c r="CG28" s="770"/>
      <c r="CH28" s="770"/>
      <c r="CI28" s="770"/>
      <c r="CJ28" s="770"/>
      <c r="CK28" s="868"/>
      <c r="CL28" s="770"/>
      <c r="CM28" s="770"/>
      <c r="CN28" s="770"/>
      <c r="CO28" s="770"/>
      <c r="CP28" s="770"/>
      <c r="CQ28" s="770"/>
      <c r="CR28" s="770"/>
      <c r="CS28" s="770"/>
      <c r="CT28" s="770"/>
      <c r="CU28" s="770"/>
      <c r="CV28" s="770"/>
      <c r="CW28" s="770"/>
      <c r="CX28" s="770"/>
      <c r="CY28" s="770"/>
      <c r="CZ28" s="770"/>
      <c r="DA28" s="770"/>
      <c r="DB28" s="868"/>
      <c r="DC28" s="770"/>
      <c r="DD28" s="770"/>
      <c r="DE28" s="770"/>
      <c r="DF28" s="770"/>
      <c r="DG28" s="770"/>
      <c r="DH28" s="770"/>
      <c r="DI28" s="770"/>
      <c r="DJ28" s="770"/>
      <c r="DK28" s="770"/>
      <c r="DL28" s="770"/>
      <c r="DM28" s="770"/>
      <c r="DN28" s="770"/>
      <c r="DO28" s="868"/>
      <c r="DP28" s="770"/>
      <c r="DQ28" s="770"/>
      <c r="DR28" s="770"/>
      <c r="DS28" s="770"/>
      <c r="DT28" s="770"/>
      <c r="DU28" s="770"/>
      <c r="DV28" s="770"/>
      <c r="DW28" s="770"/>
      <c r="DX28" s="770"/>
      <c r="DY28" s="770"/>
      <c r="DZ28" s="770"/>
      <c r="EA28" s="770"/>
      <c r="EB28" s="868"/>
      <c r="EC28" s="770"/>
      <c r="ED28" s="770"/>
      <c r="EE28" s="770"/>
      <c r="EF28" s="770"/>
      <c r="EG28" s="770"/>
      <c r="EH28" s="770"/>
      <c r="EI28" s="770"/>
      <c r="EJ28" s="770"/>
      <c r="EK28" s="770"/>
      <c r="EL28" s="770"/>
      <c r="EM28" s="770"/>
      <c r="EN28" s="770"/>
      <c r="EO28" s="1606"/>
      <c r="EP28" s="1473"/>
      <c r="EQ28" s="1473"/>
      <c r="ER28" s="1473"/>
      <c r="ES28" s="1473"/>
      <c r="ET28" s="1473"/>
    </row>
    <row r="29" spans="1:150" ht="18.2" customHeight="1">
      <c r="A29" s="1868" t="s">
        <v>1423</v>
      </c>
      <c r="B29" s="770"/>
      <c r="C29" s="1060"/>
      <c r="D29" s="770"/>
      <c r="E29" s="770"/>
      <c r="F29" s="1405"/>
      <c r="G29" s="1405"/>
      <c r="H29" s="1473"/>
      <c r="I29" s="1405"/>
      <c r="J29" s="1405"/>
      <c r="K29" s="1405"/>
      <c r="L29" s="1405"/>
      <c r="M29" s="1405"/>
      <c r="N29" s="1405"/>
      <c r="O29" s="1405"/>
      <c r="P29" s="1405"/>
      <c r="Q29" s="1808"/>
      <c r="R29" s="1808"/>
      <c r="S29" s="1808"/>
      <c r="T29" s="1808"/>
      <c r="U29" s="1808"/>
      <c r="V29" s="1808"/>
      <c r="W29" s="1808"/>
      <c r="X29" s="1808"/>
      <c r="Y29" s="1808"/>
      <c r="Z29" s="1808"/>
      <c r="AA29" s="1808"/>
      <c r="AB29" s="1808"/>
      <c r="AC29" s="1808"/>
      <c r="AD29" s="1737"/>
      <c r="AE29" s="1606"/>
      <c r="AF29" s="1606"/>
      <c r="AG29" s="1606"/>
      <c r="AH29" s="1606"/>
      <c r="AI29" s="1737"/>
      <c r="AJ29" s="1737"/>
      <c r="AK29" s="1737"/>
      <c r="AL29" s="1606"/>
      <c r="AM29" s="1606"/>
      <c r="AN29" s="1606"/>
      <c r="AO29" s="1606"/>
      <c r="AP29" s="1606"/>
      <c r="AQ29" s="1606"/>
      <c r="AR29" s="1606"/>
      <c r="AS29" s="1606"/>
      <c r="AT29" s="1737"/>
      <c r="AU29" s="1606"/>
      <c r="AV29" s="1606"/>
      <c r="AW29" s="1606"/>
      <c r="AX29" s="1606"/>
      <c r="AY29" s="1606"/>
      <c r="AZ29" s="1606"/>
      <c r="BA29" s="1606"/>
      <c r="BB29" s="1606"/>
      <c r="BC29" s="868"/>
      <c r="BD29" s="770"/>
      <c r="BE29" s="770"/>
      <c r="BF29" s="770"/>
      <c r="BG29" s="770"/>
      <c r="BH29" s="770"/>
      <c r="BI29" s="770"/>
      <c r="BJ29" s="770"/>
      <c r="BK29" s="770"/>
      <c r="BL29" s="770"/>
      <c r="BM29" s="770"/>
      <c r="BN29" s="770"/>
      <c r="BO29" s="770"/>
      <c r="BP29" s="770"/>
      <c r="BQ29" s="770"/>
      <c r="BR29" s="770"/>
      <c r="BS29" s="770"/>
      <c r="BT29" s="868"/>
      <c r="BU29" s="770"/>
      <c r="BV29" s="770"/>
      <c r="BW29" s="770"/>
      <c r="BX29" s="770"/>
      <c r="BY29" s="770"/>
      <c r="BZ29" s="770"/>
      <c r="CA29" s="770"/>
      <c r="CB29" s="770"/>
      <c r="CC29" s="770"/>
      <c r="CD29" s="770"/>
      <c r="CE29" s="770"/>
      <c r="CF29" s="770"/>
      <c r="CG29" s="770"/>
      <c r="CH29" s="770"/>
      <c r="CI29" s="770"/>
      <c r="CJ29" s="770"/>
      <c r="CK29" s="868"/>
      <c r="CL29" s="770"/>
      <c r="CM29" s="770"/>
      <c r="CN29" s="770"/>
      <c r="CO29" s="770"/>
      <c r="CP29" s="770"/>
      <c r="CQ29" s="770"/>
      <c r="CR29" s="770"/>
      <c r="CS29" s="770"/>
      <c r="CT29" s="770"/>
      <c r="CU29" s="770"/>
      <c r="CV29" s="770"/>
      <c r="CW29" s="770"/>
      <c r="CX29" s="770"/>
      <c r="CY29" s="770"/>
      <c r="CZ29" s="770"/>
      <c r="DA29" s="770"/>
      <c r="DB29" s="868"/>
      <c r="DC29" s="770"/>
      <c r="DD29" s="770"/>
      <c r="DE29" s="770"/>
      <c r="DF29" s="770"/>
      <c r="DG29" s="770"/>
      <c r="DH29" s="770"/>
      <c r="DI29" s="770"/>
      <c r="DJ29" s="770"/>
      <c r="DK29" s="770"/>
      <c r="DL29" s="770"/>
      <c r="DM29" s="770"/>
      <c r="DN29" s="770"/>
      <c r="DO29" s="868"/>
      <c r="DP29" s="770"/>
      <c r="DQ29" s="770"/>
      <c r="DR29" s="770"/>
      <c r="DS29" s="770"/>
      <c r="DT29" s="770"/>
      <c r="DU29" s="770"/>
      <c r="DV29" s="770"/>
      <c r="DW29" s="770"/>
      <c r="DX29" s="770"/>
      <c r="DY29" s="770"/>
      <c r="DZ29" s="770"/>
      <c r="EA29" s="770"/>
      <c r="EB29" s="868"/>
      <c r="EC29" s="770"/>
      <c r="ED29" s="770"/>
      <c r="EE29" s="770"/>
      <c r="EF29" s="770"/>
      <c r="EG29" s="770"/>
      <c r="EH29" s="770"/>
      <c r="EI29" s="770"/>
      <c r="EJ29" s="770"/>
      <c r="EK29" s="770"/>
      <c r="EL29" s="770"/>
      <c r="EM29" s="770"/>
      <c r="EN29" s="770"/>
      <c r="EO29" s="1606"/>
      <c r="EP29" s="1473"/>
      <c r="EQ29" s="1473"/>
      <c r="ER29" s="1473"/>
      <c r="ES29" s="1473"/>
      <c r="ET29" s="1473"/>
    </row>
    <row r="30" spans="1:150" ht="18.2" customHeight="1">
      <c r="A30" s="1868" t="s">
        <v>1425</v>
      </c>
      <c r="B30" s="770"/>
      <c r="C30" s="1060"/>
      <c r="D30" s="770"/>
      <c r="E30" s="770"/>
      <c r="F30" s="1405"/>
      <c r="G30" s="1405"/>
      <c r="H30" s="1473"/>
      <c r="I30" s="1405"/>
      <c r="J30" s="1405"/>
      <c r="K30" s="1405"/>
      <c r="L30" s="1405"/>
      <c r="M30" s="1405"/>
      <c r="N30" s="1405"/>
      <c r="O30" s="1405"/>
      <c r="P30" s="1405"/>
      <c r="Q30" s="1808"/>
      <c r="R30" s="1808"/>
      <c r="S30" s="1808"/>
      <c r="T30" s="1808"/>
      <c r="U30" s="1808"/>
      <c r="V30" s="1808"/>
      <c r="W30" s="1808"/>
      <c r="X30" s="1808"/>
      <c r="Y30" s="1808"/>
      <c r="Z30" s="1808"/>
      <c r="AA30" s="1808"/>
      <c r="AB30" s="1808"/>
      <c r="AC30" s="1808"/>
      <c r="AD30" s="1737"/>
      <c r="AE30" s="1606"/>
      <c r="AF30" s="1606"/>
      <c r="AG30" s="1606"/>
      <c r="AH30" s="1606"/>
      <c r="AI30" s="1737"/>
      <c r="AJ30" s="1737"/>
      <c r="AK30" s="1737"/>
      <c r="AL30" s="1606"/>
      <c r="AM30" s="1606"/>
      <c r="AN30" s="1606"/>
      <c r="AO30" s="1606"/>
      <c r="AP30" s="1606"/>
      <c r="AQ30" s="1606"/>
      <c r="AR30" s="1606"/>
      <c r="AS30" s="1606"/>
      <c r="AT30" s="1737"/>
      <c r="AU30" s="1606"/>
      <c r="AV30" s="1606"/>
      <c r="AW30" s="1606"/>
      <c r="AX30" s="1606"/>
      <c r="AY30" s="1606"/>
      <c r="AZ30" s="1606"/>
      <c r="BA30" s="1606"/>
      <c r="BB30" s="1606"/>
      <c r="BC30" s="868"/>
      <c r="BD30" s="770"/>
      <c r="BE30" s="770"/>
      <c r="BF30" s="770"/>
      <c r="BG30" s="770"/>
      <c r="BH30" s="770"/>
      <c r="BI30" s="770"/>
      <c r="BJ30" s="770"/>
      <c r="BK30" s="770"/>
      <c r="BL30" s="770"/>
      <c r="BM30" s="770"/>
      <c r="BN30" s="770"/>
      <c r="BO30" s="770"/>
      <c r="BP30" s="770"/>
      <c r="BQ30" s="770"/>
      <c r="BR30" s="770"/>
      <c r="BS30" s="770"/>
      <c r="BT30" s="868"/>
      <c r="BU30" s="770"/>
      <c r="BV30" s="770"/>
      <c r="BW30" s="770"/>
      <c r="BX30" s="770"/>
      <c r="BY30" s="770"/>
      <c r="BZ30" s="770"/>
      <c r="CA30" s="770"/>
      <c r="CB30" s="770"/>
      <c r="CC30" s="770"/>
      <c r="CD30" s="770"/>
      <c r="CE30" s="770"/>
      <c r="CF30" s="770"/>
      <c r="CG30" s="770"/>
      <c r="CH30" s="770"/>
      <c r="CI30" s="770"/>
      <c r="CJ30" s="770"/>
      <c r="CK30" s="868"/>
      <c r="CL30" s="770"/>
      <c r="CM30" s="770"/>
      <c r="CN30" s="770"/>
      <c r="CO30" s="770"/>
      <c r="CP30" s="770"/>
      <c r="CQ30" s="770"/>
      <c r="CR30" s="770"/>
      <c r="CS30" s="770"/>
      <c r="CT30" s="770"/>
      <c r="CU30" s="770"/>
      <c r="CV30" s="770"/>
      <c r="CW30" s="770"/>
      <c r="CX30" s="770"/>
      <c r="CY30" s="770"/>
      <c r="CZ30" s="770"/>
      <c r="DA30" s="770"/>
      <c r="DB30" s="868"/>
      <c r="DC30" s="770"/>
      <c r="DD30" s="770"/>
      <c r="DE30" s="770"/>
      <c r="DF30" s="770"/>
      <c r="DG30" s="770"/>
      <c r="DH30" s="770"/>
      <c r="DI30" s="770"/>
      <c r="DJ30" s="770"/>
      <c r="DK30" s="770"/>
      <c r="DL30" s="770"/>
      <c r="DM30" s="770"/>
      <c r="DN30" s="770"/>
      <c r="DO30" s="868"/>
      <c r="DP30" s="770"/>
      <c r="DQ30" s="770"/>
      <c r="DR30" s="770"/>
      <c r="DS30" s="770"/>
      <c r="DT30" s="770"/>
      <c r="DU30" s="770"/>
      <c r="DV30" s="770"/>
      <c r="DW30" s="770"/>
      <c r="DX30" s="770"/>
      <c r="DY30" s="770"/>
      <c r="DZ30" s="770"/>
      <c r="EA30" s="770"/>
      <c r="EB30" s="868"/>
      <c r="EC30" s="770"/>
      <c r="ED30" s="770"/>
      <c r="EE30" s="770"/>
      <c r="EF30" s="770"/>
      <c r="EG30" s="770"/>
      <c r="EH30" s="770"/>
      <c r="EI30" s="770"/>
      <c r="EJ30" s="770"/>
      <c r="EK30" s="770"/>
      <c r="EL30" s="770"/>
      <c r="EM30" s="770"/>
      <c r="EN30" s="770"/>
      <c r="EO30" s="1606"/>
      <c r="EP30" s="1473"/>
      <c r="EQ30" s="1473"/>
      <c r="ER30" s="1473"/>
      <c r="ES30" s="1473"/>
      <c r="ET30" s="1473"/>
    </row>
    <row r="31" spans="1:150" ht="18.2" customHeight="1">
      <c r="A31" s="1868" t="s">
        <v>1427</v>
      </c>
      <c r="B31" s="770"/>
      <c r="C31" s="1060"/>
      <c r="D31" s="770"/>
      <c r="E31" s="770"/>
      <c r="F31" s="1405"/>
      <c r="G31" s="1405"/>
      <c r="H31" s="1473"/>
      <c r="I31" s="1405"/>
      <c r="J31" s="1405"/>
      <c r="K31" s="1405"/>
      <c r="L31" s="1405"/>
      <c r="M31" s="1405"/>
      <c r="N31" s="1405"/>
      <c r="O31" s="1405"/>
      <c r="P31" s="1405"/>
      <c r="Q31" s="1808"/>
      <c r="R31" s="1808"/>
      <c r="S31" s="1808"/>
      <c r="T31" s="1808"/>
      <c r="U31" s="1808"/>
      <c r="V31" s="1808"/>
      <c r="W31" s="1808"/>
      <c r="X31" s="1808"/>
      <c r="Y31" s="1808"/>
      <c r="Z31" s="1808"/>
      <c r="AA31" s="1808"/>
      <c r="AB31" s="1808"/>
      <c r="AC31" s="1808"/>
      <c r="AD31" s="1737"/>
      <c r="AE31" s="1606"/>
      <c r="AF31" s="1606"/>
      <c r="AG31" s="1606"/>
      <c r="AH31" s="1606"/>
      <c r="AI31" s="1737"/>
      <c r="AJ31" s="1737"/>
      <c r="AK31" s="1737"/>
      <c r="AL31" s="1606"/>
      <c r="AM31" s="1606"/>
      <c r="AN31" s="1606"/>
      <c r="AO31" s="1606"/>
      <c r="AP31" s="1606"/>
      <c r="AQ31" s="1606"/>
      <c r="AR31" s="1606"/>
      <c r="AS31" s="1606"/>
      <c r="AT31" s="1737"/>
      <c r="AU31" s="1606"/>
      <c r="AV31" s="1606"/>
      <c r="AW31" s="1606"/>
      <c r="AX31" s="1606"/>
      <c r="AY31" s="1606"/>
      <c r="AZ31" s="1606"/>
      <c r="BA31" s="1606"/>
      <c r="BB31" s="1606"/>
      <c r="BC31" s="868"/>
      <c r="BD31" s="770"/>
      <c r="BE31" s="770"/>
      <c r="BF31" s="770"/>
      <c r="BG31" s="770"/>
      <c r="BH31" s="770"/>
      <c r="BI31" s="770"/>
      <c r="BJ31" s="770"/>
      <c r="BK31" s="770"/>
      <c r="BL31" s="770"/>
      <c r="BM31" s="770"/>
      <c r="BN31" s="770"/>
      <c r="BO31" s="770"/>
      <c r="BP31" s="770"/>
      <c r="BQ31" s="770"/>
      <c r="BR31" s="770"/>
      <c r="BS31" s="770"/>
      <c r="BT31" s="868"/>
      <c r="BU31" s="770"/>
      <c r="BV31" s="770"/>
      <c r="BW31" s="770"/>
      <c r="BX31" s="770"/>
      <c r="BY31" s="770"/>
      <c r="BZ31" s="770"/>
      <c r="CA31" s="770"/>
      <c r="CB31" s="770"/>
      <c r="CC31" s="770"/>
      <c r="CD31" s="770"/>
      <c r="CE31" s="770"/>
      <c r="CF31" s="770"/>
      <c r="CG31" s="770"/>
      <c r="CH31" s="770"/>
      <c r="CI31" s="770"/>
      <c r="CJ31" s="770"/>
      <c r="CK31" s="868"/>
      <c r="CL31" s="770"/>
      <c r="CM31" s="770"/>
      <c r="CN31" s="770"/>
      <c r="CO31" s="770"/>
      <c r="CP31" s="770"/>
      <c r="CQ31" s="770"/>
      <c r="CR31" s="770"/>
      <c r="CS31" s="770"/>
      <c r="CT31" s="770"/>
      <c r="CU31" s="770"/>
      <c r="CV31" s="770"/>
      <c r="CW31" s="770"/>
      <c r="CX31" s="770"/>
      <c r="CY31" s="770"/>
      <c r="CZ31" s="770"/>
      <c r="DA31" s="770"/>
      <c r="DB31" s="868"/>
      <c r="DC31" s="770"/>
      <c r="DD31" s="770"/>
      <c r="DE31" s="770"/>
      <c r="DF31" s="770"/>
      <c r="DG31" s="770"/>
      <c r="DH31" s="770"/>
      <c r="DI31" s="770"/>
      <c r="DJ31" s="770"/>
      <c r="DK31" s="770"/>
      <c r="DL31" s="770"/>
      <c r="DM31" s="770"/>
      <c r="DN31" s="770"/>
      <c r="DO31" s="868"/>
      <c r="DP31" s="770"/>
      <c r="DQ31" s="770"/>
      <c r="DR31" s="770"/>
      <c r="DS31" s="770"/>
      <c r="DT31" s="770"/>
      <c r="DU31" s="770"/>
      <c r="DV31" s="770"/>
      <c r="DW31" s="770"/>
      <c r="DX31" s="770"/>
      <c r="DY31" s="770"/>
      <c r="DZ31" s="770"/>
      <c r="EA31" s="770"/>
      <c r="EB31" s="868"/>
      <c r="EC31" s="770"/>
      <c r="ED31" s="770"/>
      <c r="EE31" s="770"/>
      <c r="EF31" s="770"/>
      <c r="EG31" s="770"/>
      <c r="EH31" s="770"/>
      <c r="EI31" s="770"/>
      <c r="EJ31" s="770"/>
      <c r="EK31" s="770"/>
      <c r="EL31" s="770"/>
      <c r="EM31" s="770"/>
      <c r="EN31" s="770"/>
      <c r="EO31" s="1606"/>
      <c r="EP31" s="1473"/>
      <c r="EQ31" s="1473"/>
      <c r="ER31" s="1473"/>
      <c r="ES31" s="1473"/>
      <c r="ET31" s="1473"/>
    </row>
    <row r="32" spans="1:150" ht="18.2" customHeight="1">
      <c r="A32" s="1868" t="s">
        <v>2451</v>
      </c>
      <c r="B32" s="770"/>
      <c r="C32" s="1060"/>
      <c r="D32" s="770"/>
      <c r="E32" s="770"/>
      <c r="F32" s="1405"/>
      <c r="G32" s="1405"/>
      <c r="H32" s="1473"/>
      <c r="I32" s="1405"/>
      <c r="J32" s="1405"/>
      <c r="K32" s="1405"/>
      <c r="L32" s="1405"/>
      <c r="M32" s="1405"/>
      <c r="N32" s="1405"/>
      <c r="O32" s="1405"/>
      <c r="P32" s="1405"/>
      <c r="Q32" s="1808"/>
      <c r="R32" s="1808"/>
      <c r="S32" s="1808"/>
      <c r="T32" s="1808"/>
      <c r="U32" s="1808"/>
      <c r="V32" s="1808"/>
      <c r="W32" s="1808"/>
      <c r="X32" s="1808"/>
      <c r="Y32" s="1808"/>
      <c r="Z32" s="1808"/>
      <c r="AA32" s="1808"/>
      <c r="AB32" s="1808"/>
      <c r="AC32" s="1808"/>
      <c r="AD32" s="1737"/>
      <c r="AE32" s="1606"/>
      <c r="AF32" s="1606"/>
      <c r="AG32" s="1606"/>
      <c r="AH32" s="1606"/>
      <c r="AI32" s="1737"/>
      <c r="AJ32" s="1737"/>
      <c r="AK32" s="1737"/>
      <c r="AL32" s="1606"/>
      <c r="AM32" s="1606"/>
      <c r="AN32" s="1606"/>
      <c r="AO32" s="1606"/>
      <c r="AP32" s="1606"/>
      <c r="AQ32" s="1606"/>
      <c r="AR32" s="1606"/>
      <c r="AS32" s="1606"/>
      <c r="AT32" s="1737"/>
      <c r="AU32" s="1606"/>
      <c r="AV32" s="1606"/>
      <c r="AW32" s="1606"/>
      <c r="AX32" s="1606"/>
      <c r="AY32" s="1606"/>
      <c r="AZ32" s="1606"/>
      <c r="BA32" s="1606"/>
      <c r="BB32" s="1606"/>
      <c r="BC32" s="868"/>
      <c r="BD32" s="770"/>
      <c r="BE32" s="770"/>
      <c r="BF32" s="770"/>
      <c r="BG32" s="770"/>
      <c r="BH32" s="770"/>
      <c r="BI32" s="770"/>
      <c r="BJ32" s="770"/>
      <c r="BK32" s="770"/>
      <c r="BL32" s="770"/>
      <c r="BM32" s="770"/>
      <c r="BN32" s="770"/>
      <c r="BO32" s="770"/>
      <c r="BP32" s="770"/>
      <c r="BQ32" s="770"/>
      <c r="BR32" s="770"/>
      <c r="BS32" s="770"/>
      <c r="BT32" s="868"/>
      <c r="BU32" s="770"/>
      <c r="BV32" s="770"/>
      <c r="BW32" s="770"/>
      <c r="BX32" s="770"/>
      <c r="BY32" s="770"/>
      <c r="BZ32" s="770"/>
      <c r="CA32" s="770"/>
      <c r="CB32" s="770"/>
      <c r="CC32" s="770"/>
      <c r="CD32" s="770"/>
      <c r="CE32" s="770"/>
      <c r="CF32" s="770"/>
      <c r="CG32" s="770"/>
      <c r="CH32" s="770"/>
      <c r="CI32" s="770"/>
      <c r="CJ32" s="770"/>
      <c r="CK32" s="868"/>
      <c r="CL32" s="770"/>
      <c r="CM32" s="770"/>
      <c r="CN32" s="770"/>
      <c r="CO32" s="770"/>
      <c r="CP32" s="770"/>
      <c r="CQ32" s="770"/>
      <c r="CR32" s="770"/>
      <c r="CS32" s="770"/>
      <c r="CT32" s="770"/>
      <c r="CU32" s="770"/>
      <c r="CV32" s="770"/>
      <c r="CW32" s="770"/>
      <c r="CX32" s="770"/>
      <c r="CY32" s="770"/>
      <c r="CZ32" s="770"/>
      <c r="DA32" s="770"/>
      <c r="DB32" s="868"/>
      <c r="DC32" s="770"/>
      <c r="DD32" s="770"/>
      <c r="DE32" s="770"/>
      <c r="DF32" s="770"/>
      <c r="DG32" s="770"/>
      <c r="DH32" s="770"/>
      <c r="DI32" s="770"/>
      <c r="DJ32" s="770"/>
      <c r="DK32" s="770"/>
      <c r="DL32" s="770"/>
      <c r="DM32" s="770"/>
      <c r="DN32" s="770"/>
      <c r="DO32" s="868"/>
      <c r="DP32" s="770"/>
      <c r="DQ32" s="770"/>
      <c r="DR32" s="770"/>
      <c r="DS32" s="770"/>
      <c r="DT32" s="770"/>
      <c r="DU32" s="770"/>
      <c r="DV32" s="770"/>
      <c r="DW32" s="770"/>
      <c r="DX32" s="770"/>
      <c r="DY32" s="770"/>
      <c r="DZ32" s="770"/>
      <c r="EA32" s="770"/>
      <c r="EB32" s="868"/>
      <c r="EC32" s="770"/>
      <c r="ED32" s="770"/>
      <c r="EE32" s="770"/>
      <c r="EF32" s="770"/>
      <c r="EG32" s="770"/>
      <c r="EH32" s="770"/>
      <c r="EI32" s="770"/>
      <c r="EJ32" s="770"/>
      <c r="EK32" s="770"/>
      <c r="EL32" s="770"/>
      <c r="EM32" s="770"/>
      <c r="EN32" s="770"/>
      <c r="EO32" s="1606"/>
      <c r="EP32" s="1473"/>
      <c r="EQ32" s="1473"/>
      <c r="ER32" s="1473"/>
      <c r="ES32" s="1473"/>
      <c r="ET32" s="1473"/>
    </row>
    <row r="33" spans="1:150" ht="18.2" customHeight="1">
      <c r="A33" s="1868" t="s">
        <v>2452</v>
      </c>
      <c r="B33" s="770"/>
      <c r="C33" s="1060"/>
      <c r="D33" s="770"/>
      <c r="E33" s="770"/>
      <c r="F33" s="1405"/>
      <c r="G33" s="1405"/>
      <c r="H33" s="1473"/>
      <c r="I33" s="1405"/>
      <c r="J33" s="1405"/>
      <c r="K33" s="1405"/>
      <c r="L33" s="1405"/>
      <c r="M33" s="1405"/>
      <c r="N33" s="1405"/>
      <c r="O33" s="1405"/>
      <c r="P33" s="1405"/>
      <c r="Q33" s="1808"/>
      <c r="R33" s="1808"/>
      <c r="S33" s="1808"/>
      <c r="T33" s="1808"/>
      <c r="U33" s="1808"/>
      <c r="V33" s="1808"/>
      <c r="W33" s="1808"/>
      <c r="X33" s="1808"/>
      <c r="Y33" s="1808"/>
      <c r="Z33" s="1808"/>
      <c r="AA33" s="1808"/>
      <c r="AB33" s="1808"/>
      <c r="AC33" s="1808"/>
      <c r="AD33" s="1737"/>
      <c r="AE33" s="1606"/>
      <c r="AF33" s="1606"/>
      <c r="AG33" s="1606"/>
      <c r="AH33" s="1606"/>
      <c r="AI33" s="1737"/>
      <c r="AJ33" s="1737"/>
      <c r="AK33" s="1737"/>
      <c r="AL33" s="1606"/>
      <c r="AM33" s="1606"/>
      <c r="AN33" s="1606"/>
      <c r="AO33" s="1606"/>
      <c r="AP33" s="1606"/>
      <c r="AQ33" s="1606"/>
      <c r="AR33" s="1606"/>
      <c r="AS33" s="1606"/>
      <c r="AT33" s="1737"/>
      <c r="AU33" s="1606"/>
      <c r="AV33" s="1606"/>
      <c r="AW33" s="1606"/>
      <c r="AX33" s="1606"/>
      <c r="AY33" s="1606"/>
      <c r="AZ33" s="1606"/>
      <c r="BA33" s="1606"/>
      <c r="BB33" s="1606"/>
      <c r="BC33" s="868"/>
      <c r="BD33" s="770"/>
      <c r="BE33" s="770"/>
      <c r="BF33" s="770"/>
      <c r="BG33" s="770"/>
      <c r="BH33" s="770"/>
      <c r="BI33" s="770"/>
      <c r="BJ33" s="770"/>
      <c r="BK33" s="770"/>
      <c r="BL33" s="770"/>
      <c r="BM33" s="770"/>
      <c r="BN33" s="770"/>
      <c r="BO33" s="770"/>
      <c r="BP33" s="770"/>
      <c r="BQ33" s="770"/>
      <c r="BR33" s="770"/>
      <c r="BS33" s="770"/>
      <c r="BT33" s="868"/>
      <c r="BU33" s="770"/>
      <c r="BV33" s="770"/>
      <c r="BW33" s="770"/>
      <c r="BX33" s="770"/>
      <c r="BY33" s="770"/>
      <c r="BZ33" s="770"/>
      <c r="CA33" s="770"/>
      <c r="CB33" s="770"/>
      <c r="CC33" s="770"/>
      <c r="CD33" s="770"/>
      <c r="CE33" s="770"/>
      <c r="CF33" s="770"/>
      <c r="CG33" s="770"/>
      <c r="CH33" s="770"/>
      <c r="CI33" s="770"/>
      <c r="CJ33" s="770"/>
      <c r="CK33" s="868"/>
      <c r="CL33" s="770"/>
      <c r="CM33" s="770"/>
      <c r="CN33" s="770"/>
      <c r="CO33" s="770"/>
      <c r="CP33" s="770"/>
      <c r="CQ33" s="770"/>
      <c r="CR33" s="770"/>
      <c r="CS33" s="770"/>
      <c r="CT33" s="770"/>
      <c r="CU33" s="770"/>
      <c r="CV33" s="770"/>
      <c r="CW33" s="770"/>
      <c r="CX33" s="770"/>
      <c r="CY33" s="770"/>
      <c r="CZ33" s="770"/>
      <c r="DA33" s="770"/>
      <c r="DB33" s="868"/>
      <c r="DC33" s="770"/>
      <c r="DD33" s="770"/>
      <c r="DE33" s="770"/>
      <c r="DF33" s="770"/>
      <c r="DG33" s="770"/>
      <c r="DH33" s="770"/>
      <c r="DI33" s="770"/>
      <c r="DJ33" s="770"/>
      <c r="DK33" s="770"/>
      <c r="DL33" s="770"/>
      <c r="DM33" s="770"/>
      <c r="DN33" s="770"/>
      <c r="DO33" s="868"/>
      <c r="DP33" s="770"/>
      <c r="DQ33" s="770"/>
      <c r="DR33" s="770"/>
      <c r="DS33" s="770"/>
      <c r="DT33" s="770"/>
      <c r="DU33" s="770"/>
      <c r="DV33" s="770"/>
      <c r="DW33" s="770"/>
      <c r="DX33" s="770"/>
      <c r="DY33" s="770"/>
      <c r="DZ33" s="770"/>
      <c r="EA33" s="770"/>
      <c r="EB33" s="868"/>
      <c r="EC33" s="770"/>
      <c r="ED33" s="770"/>
      <c r="EE33" s="770"/>
      <c r="EF33" s="770"/>
      <c r="EG33" s="770"/>
      <c r="EH33" s="770"/>
      <c r="EI33" s="770"/>
      <c r="EJ33" s="770"/>
      <c r="EK33" s="770"/>
      <c r="EL33" s="770"/>
      <c r="EM33" s="770"/>
      <c r="EN33" s="770"/>
      <c r="EO33" s="1606"/>
      <c r="EP33" s="1473"/>
      <c r="EQ33" s="1473"/>
      <c r="ER33" s="1473"/>
      <c r="ES33" s="1473"/>
      <c r="ET33" s="1473"/>
    </row>
    <row r="34" spans="1:150" ht="18.2" customHeight="1">
      <c r="A34" s="1868" t="s">
        <v>2453</v>
      </c>
      <c r="B34" s="770"/>
      <c r="C34" s="1060"/>
      <c r="D34" s="770"/>
      <c r="E34" s="770"/>
      <c r="F34" s="1405"/>
      <c r="G34" s="1405"/>
      <c r="H34" s="1473"/>
      <c r="I34" s="1405"/>
      <c r="J34" s="1405"/>
      <c r="K34" s="1405"/>
      <c r="L34" s="1405"/>
      <c r="M34" s="1405"/>
      <c r="N34" s="1405"/>
      <c r="O34" s="1405"/>
      <c r="P34" s="1405"/>
      <c r="Q34" s="1808"/>
      <c r="R34" s="1808"/>
      <c r="S34" s="1808"/>
      <c r="T34" s="1808"/>
      <c r="U34" s="1808"/>
      <c r="V34" s="1808"/>
      <c r="W34" s="1808"/>
      <c r="X34" s="1808"/>
      <c r="Y34" s="1808"/>
      <c r="Z34" s="1808"/>
      <c r="AA34" s="1808"/>
      <c r="AB34" s="1808"/>
      <c r="AC34" s="1808"/>
      <c r="AD34" s="1737"/>
      <c r="AE34" s="1606"/>
      <c r="AF34" s="1606"/>
      <c r="AG34" s="1606"/>
      <c r="AH34" s="1606"/>
      <c r="AI34" s="1737"/>
      <c r="AJ34" s="1737"/>
      <c r="AK34" s="1737"/>
      <c r="AL34" s="1606"/>
      <c r="AM34" s="1606"/>
      <c r="AN34" s="1606"/>
      <c r="AO34" s="1606"/>
      <c r="AP34" s="1606"/>
      <c r="AQ34" s="1606"/>
      <c r="AR34" s="1606"/>
      <c r="AS34" s="1606"/>
      <c r="AT34" s="1737"/>
      <c r="AU34" s="1606"/>
      <c r="AV34" s="1606"/>
      <c r="AW34" s="1606"/>
      <c r="AX34" s="1606"/>
      <c r="AY34" s="1606"/>
      <c r="AZ34" s="1606"/>
      <c r="BA34" s="1606"/>
      <c r="BB34" s="1606"/>
      <c r="BC34" s="868"/>
      <c r="BD34" s="770"/>
      <c r="BE34" s="770"/>
      <c r="BF34" s="770"/>
      <c r="BG34" s="770"/>
      <c r="BH34" s="770"/>
      <c r="BI34" s="770"/>
      <c r="BJ34" s="770"/>
      <c r="BK34" s="770"/>
      <c r="BL34" s="770"/>
      <c r="BM34" s="770"/>
      <c r="BN34" s="770"/>
      <c r="BO34" s="770"/>
      <c r="BP34" s="770"/>
      <c r="BQ34" s="770"/>
      <c r="BR34" s="770"/>
      <c r="BS34" s="770"/>
      <c r="BT34" s="868"/>
      <c r="BU34" s="770"/>
      <c r="BV34" s="770"/>
      <c r="BW34" s="770"/>
      <c r="BX34" s="770"/>
      <c r="BY34" s="770"/>
      <c r="BZ34" s="770"/>
      <c r="CA34" s="770"/>
      <c r="CB34" s="770"/>
      <c r="CC34" s="770"/>
      <c r="CD34" s="770"/>
      <c r="CE34" s="770"/>
      <c r="CF34" s="770"/>
      <c r="CG34" s="770"/>
      <c r="CH34" s="770"/>
      <c r="CI34" s="770"/>
      <c r="CJ34" s="770"/>
      <c r="CK34" s="868"/>
      <c r="CL34" s="770"/>
      <c r="CM34" s="770"/>
      <c r="CN34" s="770"/>
      <c r="CO34" s="770"/>
      <c r="CP34" s="770"/>
      <c r="CQ34" s="770"/>
      <c r="CR34" s="770"/>
      <c r="CS34" s="770"/>
      <c r="CT34" s="770"/>
      <c r="CU34" s="770"/>
      <c r="CV34" s="770"/>
      <c r="CW34" s="770"/>
      <c r="CX34" s="770"/>
      <c r="CY34" s="770"/>
      <c r="CZ34" s="770"/>
      <c r="DA34" s="770"/>
      <c r="DB34" s="868"/>
      <c r="DC34" s="770"/>
      <c r="DD34" s="770"/>
      <c r="DE34" s="770"/>
      <c r="DF34" s="770"/>
      <c r="DG34" s="770"/>
      <c r="DH34" s="770"/>
      <c r="DI34" s="770"/>
      <c r="DJ34" s="770"/>
      <c r="DK34" s="770"/>
      <c r="DL34" s="770"/>
      <c r="DM34" s="770"/>
      <c r="DN34" s="770"/>
      <c r="DO34" s="868"/>
      <c r="DP34" s="770"/>
      <c r="DQ34" s="770"/>
      <c r="DR34" s="770"/>
      <c r="DS34" s="770"/>
      <c r="DT34" s="770"/>
      <c r="DU34" s="770"/>
      <c r="DV34" s="770"/>
      <c r="DW34" s="770"/>
      <c r="DX34" s="770"/>
      <c r="DY34" s="770"/>
      <c r="DZ34" s="770"/>
      <c r="EA34" s="770"/>
      <c r="EB34" s="868"/>
      <c r="EC34" s="770"/>
      <c r="ED34" s="770"/>
      <c r="EE34" s="770"/>
      <c r="EF34" s="770"/>
      <c r="EG34" s="770"/>
      <c r="EH34" s="770"/>
      <c r="EI34" s="770"/>
      <c r="EJ34" s="770"/>
      <c r="EK34" s="770"/>
      <c r="EL34" s="770"/>
      <c r="EM34" s="770"/>
      <c r="EN34" s="770"/>
      <c r="EO34" s="1606"/>
      <c r="EP34" s="1473"/>
      <c r="EQ34" s="1473"/>
      <c r="ER34" s="1473"/>
      <c r="ES34" s="1473"/>
      <c r="ET34" s="1473"/>
    </row>
  </sheetData>
  <customSheetViews>
    <customSheetView guid="{9C153D9E-615C-443B-9CD7-551163282F03}" scale="118" showPageBreaks="1" printArea="1" view="pageBreakPreview">
      <selection activeCell="AP6" sqref="AP6:AP17"/>
      <colBreaks count="9" manualBreakCount="9">
        <brk id="4" max="1048575" man="1"/>
        <brk id="41" max="1048575" man="1"/>
        <brk id="50" max="33" man="1"/>
        <brk id="67" max="33" man="1"/>
        <brk id="84" max="1048575" man="1"/>
        <brk id="101" max="1048575" man="1"/>
        <brk id="114" max="33" man="1"/>
        <brk id="127" max="1048575" man="1"/>
        <brk id="140" max="1048575" man="1"/>
      </colBreaks>
      <pageMargins left="0" right="0" top="0" bottom="0" header="0" footer="0"/>
      <pageSetup firstPageNumber="65" orientation="landscape" r:id="rId1"/>
      <headerFooter>
        <oddFooter>&amp;C&amp;P</oddFooter>
      </headerFooter>
    </customSheetView>
    <customSheetView guid="{BE9F68F7-D81B-4526-9959-D871EC50BDFF}" scale="118" showPageBreaks="1" printArea="1" view="pageBreakPreview">
      <selection activeCell="AP6" sqref="AP6:AP17"/>
      <colBreaks count="9" manualBreakCount="9">
        <brk id="4" max="1048575" man="1"/>
        <brk id="41" max="1048575" man="1"/>
        <brk id="50" max="33" man="1"/>
        <brk id="67" max="33" man="1"/>
        <brk id="84" max="1048575" man="1"/>
        <brk id="101" max="1048575" man="1"/>
        <brk id="114" max="33" man="1"/>
        <brk id="127" max="1048575" man="1"/>
        <brk id="140" max="1048575" man="1"/>
      </colBreaks>
      <pageMargins left="0" right="0" top="0" bottom="0" header="0" footer="0"/>
      <pageSetup firstPageNumber="65" orientation="landscape" r:id="rId2"/>
      <headerFooter>
        <oddFooter>&amp;C&amp;P</oddFooter>
      </headerFooter>
    </customSheetView>
    <customSheetView guid="{EF790C5B-80DA-4544-9EB7-EFE0323B2298}" scale="140" showPageBreaks="1" printArea="1" view="pageBreakPreview" topLeftCell="H1">
      <selection activeCell="CX6" sqref="CX6:CX18"/>
      <colBreaks count="9" manualBreakCount="9">
        <brk id="4" max="1048575" man="1"/>
        <brk id="41" max="1048575" man="1"/>
        <brk id="50" max="33" man="1"/>
        <brk id="67" max="33" man="1"/>
        <brk id="84" max="1048575" man="1"/>
        <brk id="101" max="1048575" man="1"/>
        <brk id="114" max="33" man="1"/>
        <brk id="127" max="1048575" man="1"/>
        <brk id="140" max="1048575" man="1"/>
      </colBreaks>
      <pageMargins left="0" right="0" top="0" bottom="0" header="0" footer="0"/>
      <pageSetup firstPageNumber="65" orientation="landscape" r:id="rId3"/>
      <headerFooter>
        <oddFooter>&amp;C&amp;P</oddFooter>
      </headerFooter>
    </customSheetView>
    <customSheetView guid="{C9D2DBB1-CD01-4732-8C86-64BE16C94753}" showPageBreaks="1" printArea="1" view="pageBreakPreview">
      <colBreaks count="9" manualBreakCount="9">
        <brk id="4" max="1048575" man="1"/>
        <brk id="41" max="1048575" man="1"/>
        <brk id="50" max="33" man="1"/>
        <brk id="67" max="33" man="1"/>
        <brk id="84" max="1048575" man="1"/>
        <brk id="101" max="1048575" man="1"/>
        <brk id="114" max="33" man="1"/>
        <brk id="127" max="1048575" man="1"/>
        <brk id="140" max="1048575" man="1"/>
      </colBreaks>
      <pageMargins left="0" right="0" top="0" bottom="0" header="0" footer="0"/>
      <pageSetup firstPageNumber="65" orientation="landscape" r:id="rId4"/>
      <headerFooter>
        <oddFooter>&amp;C&amp;P</oddFooter>
      </headerFooter>
    </customSheetView>
    <customSheetView guid="{BFEC163F-7C4E-49B7-9F32-15225772E72F}" scale="118" showPageBreaks="1" printArea="1" view="pageBreakPreview" topLeftCell="O4">
      <selection activeCell="DY6" sqref="DY6:EJ10"/>
      <colBreaks count="9" manualBreakCount="9">
        <brk id="4" max="1048575" man="1"/>
        <brk id="41" max="1048575" man="1"/>
        <brk id="50" max="33" man="1"/>
        <brk id="67" max="33" man="1"/>
        <brk id="84" max="1048575" man="1"/>
        <brk id="101" max="1048575" man="1"/>
        <brk id="114" max="33" man="1"/>
        <brk id="127" max="1048575" man="1"/>
        <brk id="140" max="1048575" man="1"/>
      </colBreaks>
      <pageMargins left="0" right="0" top="0" bottom="0" header="0" footer="0"/>
      <pageSetup firstPageNumber="65" orientation="landscape" r:id="rId5"/>
      <headerFooter>
        <oddFooter>&amp;C&amp;P</oddFooter>
      </headerFooter>
    </customSheetView>
    <customSheetView guid="{5529DB6B-163A-4048-9107-267B30B97DF3}" scale="118" showPageBreaks="1" printArea="1" view="pageBreakPreview" topLeftCell="EB1">
      <selection activeCell="DY6" sqref="DY6:EJ10"/>
      <colBreaks count="9" manualBreakCount="9">
        <brk id="4" max="1048575" man="1"/>
        <brk id="41" max="1048575" man="1"/>
        <brk id="50" max="33" man="1"/>
        <brk id="67" max="33" man="1"/>
        <brk id="84" max="1048575" man="1"/>
        <brk id="101" max="1048575" man="1"/>
        <brk id="114" max="33" man="1"/>
        <brk id="127" max="1048575" man="1"/>
        <brk id="140" max="1048575" man="1"/>
      </colBreaks>
      <pageMargins left="0" right="0" top="0" bottom="0" header="0" footer="0"/>
      <pageSetup firstPageNumber="65" orientation="landscape" r:id="rId6"/>
      <headerFooter>
        <oddFooter>&amp;C&amp;P</oddFooter>
      </headerFooter>
    </customSheetView>
    <customSheetView guid="{9B0763AA-FA4B-479A-900C-C113E8BEEFEB}" scale="118" showPageBreaks="1" printArea="1" view="pageBreakPreview">
      <selection activeCell="AP6" sqref="AP6:AP17"/>
      <colBreaks count="9" manualBreakCount="9">
        <brk id="4" max="1048575" man="1"/>
        <brk id="41" max="1048575" man="1"/>
        <brk id="50" max="33" man="1"/>
        <brk id="67" max="33" man="1"/>
        <brk id="84" max="1048575" man="1"/>
        <brk id="101" max="1048575" man="1"/>
        <brk id="114" max="33" man="1"/>
        <brk id="127" max="1048575" man="1"/>
        <brk id="140" max="1048575" man="1"/>
      </colBreaks>
      <pageMargins left="0" right="0" top="0" bottom="0" header="0" footer="0"/>
      <pageSetup firstPageNumber="65" orientation="landscape" r:id="rId7"/>
      <headerFooter>
        <oddFooter>&amp;C&amp;P</oddFooter>
      </headerFooter>
    </customSheetView>
    <customSheetView guid="{89903799-8228-4A6D-8A81-7F80BC61226D}" scale="140" showPageBreaks="1" printArea="1" view="pageBreakPreview" topLeftCell="H1">
      <selection activeCell="CX6" sqref="CX6:CX18"/>
      <colBreaks count="9" manualBreakCount="9">
        <brk id="4" max="1048575" man="1"/>
        <brk id="41" max="1048575" man="1"/>
        <brk id="50" max="33" man="1"/>
        <brk id="67" max="33" man="1"/>
        <brk id="84" max="1048575" man="1"/>
        <brk id="101" max="1048575" man="1"/>
        <brk id="114" max="33" man="1"/>
        <brk id="127" max="1048575" man="1"/>
        <brk id="140" max="1048575" man="1"/>
      </colBreaks>
      <pageMargins left="0" right="0" top="0" bottom="0" header="0" footer="0"/>
      <pageSetup firstPageNumber="65" orientation="landscape" r:id="rId8"/>
      <headerFooter>
        <oddFooter>&amp;C&amp;P</oddFooter>
      </headerFooter>
    </customSheetView>
    <customSheetView guid="{2524630E-605A-4616-AD5D-6CF7B1E9752C}" scale="140" showPageBreaks="1" printArea="1" view="pageBreakPreview" topLeftCell="H1">
      <selection activeCell="CX6" sqref="CX6:CX18"/>
      <colBreaks count="9" manualBreakCount="9">
        <brk id="4" max="1048575" man="1"/>
        <brk id="41" max="1048575" man="1"/>
        <brk id="50" max="33" man="1"/>
        <brk id="67" max="33" man="1"/>
        <brk id="84" max="1048575" man="1"/>
        <brk id="101" max="1048575" man="1"/>
        <brk id="114" max="33" man="1"/>
        <brk id="127" max="1048575" man="1"/>
        <brk id="140" max="1048575" man="1"/>
      </colBreaks>
      <pageMargins left="0" right="0" top="0" bottom="0" header="0" footer="0"/>
      <pageSetup firstPageNumber="65" orientation="landscape" r:id="rId9"/>
      <headerFooter>
        <oddFooter>&amp;C&amp;P</oddFooter>
      </headerFooter>
    </customSheetView>
  </customSheetViews>
  <mergeCells count="131">
    <mergeCell ref="E3:I3"/>
    <mergeCell ref="B7:B18"/>
    <mergeCell ref="AU7:AV17"/>
    <mergeCell ref="C4:D4"/>
    <mergeCell ref="A5:A19"/>
    <mergeCell ref="AL9:AM17"/>
    <mergeCell ref="AN9:AO17"/>
    <mergeCell ref="AP9:AQ17"/>
    <mergeCell ref="AR9:AS17"/>
    <mergeCell ref="G6:G18"/>
    <mergeCell ref="D6:D11"/>
    <mergeCell ref="H6:H13"/>
    <mergeCell ref="I6:J11"/>
    <mergeCell ref="F6:F14"/>
    <mergeCell ref="AT6:AT17"/>
    <mergeCell ref="E6:E17"/>
    <mergeCell ref="AL7:AS8"/>
    <mergeCell ref="AD6:AD18"/>
    <mergeCell ref="AE6:AE18"/>
    <mergeCell ref="AF6:AG17"/>
    <mergeCell ref="I5:J5"/>
    <mergeCell ref="S5:T5"/>
    <mergeCell ref="S6:T8"/>
    <mergeCell ref="S9:T16"/>
    <mergeCell ref="EQ5:ER5"/>
    <mergeCell ref="AF5:AG5"/>
    <mergeCell ref="AL5:AS5"/>
    <mergeCell ref="AU5:BB5"/>
    <mergeCell ref="BD5:BS5"/>
    <mergeCell ref="K5:L5"/>
    <mergeCell ref="BU5:CJ5"/>
    <mergeCell ref="CL5:DA5"/>
    <mergeCell ref="DC5:DN5"/>
    <mergeCell ref="DP5:EA5"/>
    <mergeCell ref="EC5:EN5"/>
    <mergeCell ref="Q5:R5"/>
    <mergeCell ref="U5:V5"/>
    <mergeCell ref="ES6:ES18"/>
    <mergeCell ref="Y6:Y9"/>
    <mergeCell ref="Z6:Z8"/>
    <mergeCell ref="AA6:AA9"/>
    <mergeCell ref="CE18:CF18"/>
    <mergeCell ref="CC18:CD18"/>
    <mergeCell ref="BC6:BC18"/>
    <mergeCell ref="AU6:BB6"/>
    <mergeCell ref="BH18:BI18"/>
    <mergeCell ref="BW18:BX18"/>
    <mergeCell ref="EO6:EO18"/>
    <mergeCell ref="BT6:BT18"/>
    <mergeCell ref="BU6:CJ8"/>
    <mergeCell ref="CL6:DA8"/>
    <mergeCell ref="EF18:EH18"/>
    <mergeCell ref="DV18:DX18"/>
    <mergeCell ref="DB6:DB18"/>
    <mergeCell ref="CP18:CQ18"/>
    <mergeCell ref="CG18:CH18"/>
    <mergeCell ref="CL18:CM18"/>
    <mergeCell ref="BY18:BZ18"/>
    <mergeCell ref="BR18:BS18"/>
    <mergeCell ref="EQ6:ER7"/>
    <mergeCell ref="EC6:EN10"/>
    <mergeCell ref="EI18:EK18"/>
    <mergeCell ref="EL18:EN18"/>
    <mergeCell ref="EC18:EE18"/>
    <mergeCell ref="EP6:EP18"/>
    <mergeCell ref="DY18:EA18"/>
    <mergeCell ref="CA18:CB18"/>
    <mergeCell ref="CR18:CS18"/>
    <mergeCell ref="BP18:BQ18"/>
    <mergeCell ref="CT18:CU18"/>
    <mergeCell ref="CK6:CK18"/>
    <mergeCell ref="DC18:DE18"/>
    <mergeCell ref="DF18:DH18"/>
    <mergeCell ref="DL18:DN18"/>
    <mergeCell ref="CI18:CJ18"/>
    <mergeCell ref="DC6:DN10"/>
    <mergeCell ref="DS18:DU18"/>
    <mergeCell ref="DO6:DO18"/>
    <mergeCell ref="DP6:EA10"/>
    <mergeCell ref="BD6:BS8"/>
    <mergeCell ref="CV18:CW18"/>
    <mergeCell ref="AK6:AK18"/>
    <mergeCell ref="W6:W18"/>
    <mergeCell ref="M6:M8"/>
    <mergeCell ref="P6:P18"/>
    <mergeCell ref="O6:O18"/>
    <mergeCell ref="AH6:AH18"/>
    <mergeCell ref="AB6:AB10"/>
    <mergeCell ref="AC6:AC12"/>
    <mergeCell ref="N6:N17"/>
    <mergeCell ref="X11:X18"/>
    <mergeCell ref="X6:X9"/>
    <mergeCell ref="Q6:R8"/>
    <mergeCell ref="U6:V8"/>
    <mergeCell ref="U9:V16"/>
    <mergeCell ref="B2:B3"/>
    <mergeCell ref="ET6:ET18"/>
    <mergeCell ref="CX18:CY18"/>
    <mergeCell ref="CZ18:DA18"/>
    <mergeCell ref="DI18:DK18"/>
    <mergeCell ref="DP18:DR18"/>
    <mergeCell ref="Q9:R16"/>
    <mergeCell ref="AL6:AS6"/>
    <mergeCell ref="BF18:BG18"/>
    <mergeCell ref="BU18:BV18"/>
    <mergeCell ref="EB6:EB18"/>
    <mergeCell ref="BN18:BO18"/>
    <mergeCell ref="BJ18:BK18"/>
    <mergeCell ref="BL18:BM18"/>
    <mergeCell ref="CN18:CO18"/>
    <mergeCell ref="J3:K3"/>
    <mergeCell ref="C6:C18"/>
    <mergeCell ref="AY7:AZ17"/>
    <mergeCell ref="BA7:BB17"/>
    <mergeCell ref="BD18:BE18"/>
    <mergeCell ref="AW7:AX17"/>
    <mergeCell ref="K6:L18"/>
    <mergeCell ref="AI6:AI18"/>
    <mergeCell ref="AJ6:AJ18"/>
    <mergeCell ref="EO1:ER1"/>
    <mergeCell ref="EO2:ER2"/>
    <mergeCell ref="CO1:CR1"/>
    <mergeCell ref="CO2:CR2"/>
    <mergeCell ref="DF1:DI1"/>
    <mergeCell ref="DF2:DI2"/>
    <mergeCell ref="AT1:AW1"/>
    <mergeCell ref="AT2:AW2"/>
    <mergeCell ref="BG1:BJ1"/>
    <mergeCell ref="BG2:BJ2"/>
    <mergeCell ref="BT1:BW1"/>
    <mergeCell ref="BT2:BW2"/>
  </mergeCells>
  <pageMargins left="0.314" right="0.314" top="0.11799999999999999" bottom="0.27500000000000002" header="0.157" footer="0.11799999999999999"/>
  <pageSetup scale="49" firstPageNumber="65" orientation="landscape" r:id="rId10"/>
  <headerFooter>
    <oddFooter>&amp;C&amp;P</oddFooter>
  </headerFooter>
  <colBreaks count="5" manualBreakCount="5">
    <brk id="16" max="33" man="1"/>
    <brk id="45" max="33" man="1"/>
    <brk id="71" max="33" man="1"/>
    <brk id="104" max="33" man="1"/>
    <brk id="130" max="33" man="1"/>
  </colBreaks>
  <drawing r:id="rId1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F00-000000000000}">
  <dimension ref="A1:N39"/>
  <sheetViews>
    <sheetView view="pageBreakPreview" topLeftCell="A29" zoomScale="106" zoomScaleNormal="110" zoomScaleSheetLayoutView="150" workbookViewId="0">
      <selection activeCell="G36" sqref="G36"/>
    </sheetView>
  </sheetViews>
  <sheetFormatPr defaultColWidth="9.140625" defaultRowHeight="12.75"/>
  <cols>
    <col min="1" max="1" width="5.7109375" style="271" bestFit="1" customWidth="1"/>
    <col min="2" max="2" width="20.7109375" style="271" customWidth="1"/>
    <col min="3" max="3" width="9.85546875" style="271" customWidth="1"/>
    <col min="4" max="4" width="9.7109375" style="271" customWidth="1"/>
    <col min="5" max="5" width="7.5703125" style="271" customWidth="1"/>
    <col min="6" max="6" width="17.140625" style="271" customWidth="1"/>
    <col min="7" max="7" width="17" style="271" customWidth="1"/>
    <col min="8" max="8" width="12.42578125" style="271" customWidth="1"/>
    <col min="9" max="9" width="9.7109375" style="271" customWidth="1"/>
    <col min="10" max="10" width="6.7109375" style="271" customWidth="1"/>
    <col min="11" max="11" width="10.85546875" style="271" customWidth="1"/>
    <col min="12" max="12" width="9.7109375" style="271" customWidth="1"/>
    <col min="13" max="13" width="6.85546875" style="271" customWidth="1"/>
    <col min="14" max="14" width="20.7109375" style="271" customWidth="1"/>
    <col min="15" max="16384" width="9.140625" style="271"/>
  </cols>
  <sheetData>
    <row r="1" spans="1:14">
      <c r="A1" s="541" t="s">
        <v>2303</v>
      </c>
    </row>
    <row r="2" spans="1:14" ht="12.75" customHeight="1">
      <c r="A2" s="541" t="s">
        <v>2454</v>
      </c>
      <c r="E2" s="653" t="s">
        <v>2455</v>
      </c>
      <c r="F2" s="653"/>
      <c r="G2" s="653"/>
    </row>
    <row r="3" spans="1:14">
      <c r="A3" s="527"/>
    </row>
    <row r="4" spans="1:14" ht="13.5">
      <c r="A4" s="2891" t="s">
        <v>2456</v>
      </c>
      <c r="B4" s="2891"/>
      <c r="C4" s="1858" t="s">
        <v>2457</v>
      </c>
      <c r="D4" s="2892" t="s">
        <v>2458</v>
      </c>
      <c r="E4" s="2891"/>
      <c r="F4" s="1859" t="s">
        <v>2459</v>
      </c>
      <c r="G4" s="1858" t="s">
        <v>2460</v>
      </c>
      <c r="H4" s="1858" t="s">
        <v>2461</v>
      </c>
      <c r="I4" s="2891" t="s">
        <v>2462</v>
      </c>
      <c r="J4" s="2891"/>
      <c r="K4" s="1858" t="s">
        <v>2463</v>
      </c>
      <c r="L4" s="2891" t="s">
        <v>2464</v>
      </c>
      <c r="M4" s="2891"/>
      <c r="N4" s="2891"/>
    </row>
    <row r="5" spans="1:14" ht="12.75" customHeight="1">
      <c r="A5" s="2893" t="s">
        <v>2465</v>
      </c>
      <c r="B5" s="2893"/>
      <c r="C5" s="2509" t="s">
        <v>2466</v>
      </c>
      <c r="D5" s="2400" t="s">
        <v>2467</v>
      </c>
      <c r="E5" s="2396"/>
      <c r="F5" s="2400" t="s">
        <v>2468</v>
      </c>
      <c r="G5" s="2894" t="s">
        <v>2469</v>
      </c>
      <c r="H5" s="2894" t="s">
        <v>2470</v>
      </c>
      <c r="I5" s="2894" t="s">
        <v>2471</v>
      </c>
      <c r="J5" s="2894"/>
      <c r="K5" s="2894" t="s">
        <v>2472</v>
      </c>
      <c r="L5" s="2894" t="s">
        <v>2473</v>
      </c>
      <c r="M5" s="2894"/>
      <c r="N5" s="2894"/>
    </row>
    <row r="6" spans="1:14" ht="12.75" customHeight="1">
      <c r="A6" s="2893"/>
      <c r="B6" s="2893"/>
      <c r="C6" s="2231"/>
      <c r="D6" s="2257"/>
      <c r="E6" s="2258"/>
      <c r="F6" s="2257"/>
      <c r="G6" s="2894"/>
      <c r="H6" s="2894"/>
      <c r="I6" s="2894"/>
      <c r="J6" s="2894"/>
      <c r="K6" s="2894"/>
      <c r="L6" s="2894"/>
      <c r="M6" s="2894"/>
      <c r="N6" s="2894"/>
    </row>
    <row r="7" spans="1:14" ht="12.75" customHeight="1">
      <c r="A7" s="2893"/>
      <c r="B7" s="2893"/>
      <c r="C7" s="2231"/>
      <c r="D7" s="2257"/>
      <c r="E7" s="2258"/>
      <c r="F7" s="2257"/>
      <c r="G7" s="2894"/>
      <c r="H7" s="2894"/>
      <c r="I7" s="2894"/>
      <c r="J7" s="2894"/>
      <c r="K7" s="2894"/>
      <c r="L7" s="2894"/>
      <c r="M7" s="2894"/>
      <c r="N7" s="2894"/>
    </row>
    <row r="8" spans="1:14" ht="12.75" customHeight="1">
      <c r="A8" s="2893"/>
      <c r="B8" s="2893"/>
      <c r="C8" s="2231"/>
      <c r="D8" s="2257"/>
      <c r="E8" s="2258"/>
      <c r="F8" s="2257"/>
      <c r="G8" s="2894"/>
      <c r="H8" s="2894"/>
      <c r="I8" s="2894"/>
      <c r="J8" s="2894"/>
      <c r="K8" s="2894"/>
      <c r="L8" s="2894"/>
      <c r="M8" s="2894"/>
      <c r="N8" s="2894"/>
    </row>
    <row r="9" spans="1:14" ht="12.75" customHeight="1">
      <c r="A9" s="2893"/>
      <c r="B9" s="2893"/>
      <c r="C9" s="2231"/>
      <c r="D9" s="2257"/>
      <c r="E9" s="2258"/>
      <c r="F9" s="2257"/>
      <c r="G9" s="2894"/>
      <c r="H9" s="2894"/>
      <c r="I9" s="2894"/>
      <c r="J9" s="2894"/>
      <c r="K9" s="2894"/>
      <c r="L9" s="2894"/>
      <c r="M9" s="2894"/>
      <c r="N9" s="2894"/>
    </row>
    <row r="10" spans="1:14" ht="12.75" customHeight="1">
      <c r="A10" s="2893"/>
      <c r="B10" s="2893"/>
      <c r="C10" s="2231"/>
      <c r="D10" s="2257"/>
      <c r="E10" s="2258"/>
      <c r="F10" s="2257"/>
      <c r="G10" s="2894"/>
      <c r="H10" s="2894"/>
      <c r="I10" s="2894"/>
      <c r="J10" s="2894"/>
      <c r="K10" s="2894"/>
      <c r="L10" s="2894"/>
      <c r="M10" s="2894"/>
      <c r="N10" s="2894"/>
    </row>
    <row r="11" spans="1:14" ht="12.75" customHeight="1">
      <c r="A11" s="2893"/>
      <c r="B11" s="2893"/>
      <c r="C11" s="2231"/>
      <c r="D11" s="2257"/>
      <c r="E11" s="2258"/>
      <c r="F11" s="2257"/>
      <c r="G11" s="2894"/>
      <c r="H11" s="2894"/>
      <c r="I11" s="2894"/>
      <c r="J11" s="2894"/>
      <c r="K11" s="2894"/>
      <c r="L11" s="2894"/>
      <c r="M11" s="2894"/>
      <c r="N11" s="2894"/>
    </row>
    <row r="12" spans="1:14" ht="12.75" customHeight="1">
      <c r="A12" s="2893"/>
      <c r="B12" s="2893"/>
      <c r="C12" s="2231"/>
      <c r="D12" s="2257"/>
      <c r="E12" s="2258"/>
      <c r="F12" s="2257"/>
      <c r="G12" s="2894"/>
      <c r="H12" s="2894"/>
      <c r="I12" s="2894"/>
      <c r="J12" s="2894"/>
      <c r="K12" s="2894"/>
      <c r="L12" s="2894"/>
      <c r="M12" s="2894"/>
      <c r="N12" s="2894"/>
    </row>
    <row r="13" spans="1:14" ht="12.75" customHeight="1">
      <c r="A13" s="2893"/>
      <c r="B13" s="2893"/>
      <c r="C13" s="2231"/>
      <c r="D13" s="2257"/>
      <c r="E13" s="2258"/>
      <c r="F13" s="2257"/>
      <c r="G13" s="2894"/>
      <c r="H13" s="2894"/>
      <c r="I13" s="2894"/>
      <c r="J13" s="2894"/>
      <c r="K13" s="2894"/>
      <c r="L13" s="2894"/>
      <c r="M13" s="2894"/>
      <c r="N13" s="2894"/>
    </row>
    <row r="14" spans="1:14" ht="12.75" customHeight="1">
      <c r="A14" s="2893"/>
      <c r="B14" s="2893"/>
      <c r="C14" s="2231"/>
      <c r="D14" s="2257"/>
      <c r="E14" s="2258"/>
      <c r="F14" s="2257"/>
      <c r="G14" s="2894"/>
      <c r="H14" s="2894"/>
      <c r="I14" s="2894"/>
      <c r="J14" s="2894"/>
      <c r="K14" s="2894"/>
      <c r="L14" s="2894"/>
      <c r="M14" s="2894"/>
      <c r="N14" s="2894"/>
    </row>
    <row r="15" spans="1:14" ht="12.75" customHeight="1">
      <c r="A15" s="2893"/>
      <c r="B15" s="2893"/>
      <c r="C15" s="2231"/>
      <c r="D15" s="2257"/>
      <c r="E15" s="2258"/>
      <c r="F15" s="2257"/>
      <c r="G15" s="2894"/>
      <c r="H15" s="2894"/>
      <c r="I15" s="2894"/>
      <c r="J15" s="2894"/>
      <c r="K15" s="2894"/>
      <c r="L15" s="2894"/>
      <c r="M15" s="2894"/>
      <c r="N15" s="2894"/>
    </row>
    <row r="16" spans="1:14" ht="44.25" customHeight="1">
      <c r="A16" s="2893"/>
      <c r="B16" s="2893"/>
      <c r="C16" s="2367"/>
      <c r="D16" s="2536"/>
      <c r="E16" s="2537"/>
      <c r="F16" s="2536"/>
      <c r="G16" s="2894"/>
      <c r="H16" s="2894"/>
      <c r="I16" s="2894"/>
      <c r="J16" s="2894"/>
      <c r="K16" s="2894"/>
      <c r="L16" s="2894"/>
      <c r="M16" s="2894"/>
      <c r="N16" s="2894"/>
    </row>
    <row r="17" spans="1:14" ht="15" customHeight="1">
      <c r="A17" s="1871"/>
      <c r="B17" s="1871"/>
      <c r="C17" s="1871"/>
      <c r="D17" s="1599" t="s">
        <v>1130</v>
      </c>
      <c r="E17" s="779" t="s">
        <v>1131</v>
      </c>
      <c r="F17" s="779"/>
      <c r="G17" s="779"/>
      <c r="H17" s="779"/>
      <c r="I17" s="779" t="s">
        <v>1130</v>
      </c>
      <c r="J17" s="1872" t="s">
        <v>1131</v>
      </c>
      <c r="K17" s="779" t="s">
        <v>1709</v>
      </c>
      <c r="L17" s="779" t="s">
        <v>1130</v>
      </c>
      <c r="M17" s="1872" t="s">
        <v>1131</v>
      </c>
      <c r="N17" s="1873" t="s">
        <v>1054</v>
      </c>
    </row>
    <row r="18" spans="1:14" ht="27">
      <c r="A18" s="1874" t="s">
        <v>2200</v>
      </c>
      <c r="B18" s="2043" t="s">
        <v>2474</v>
      </c>
      <c r="C18" s="779" t="s">
        <v>420</v>
      </c>
      <c r="D18" s="1599"/>
      <c r="E18" s="779" t="s">
        <v>420</v>
      </c>
      <c r="F18" s="1875" t="s">
        <v>420</v>
      </c>
      <c r="G18" s="779" t="s">
        <v>420</v>
      </c>
      <c r="H18" s="779" t="s">
        <v>420</v>
      </c>
      <c r="I18" s="779" t="s">
        <v>426</v>
      </c>
      <c r="J18" s="1872" t="s">
        <v>420</v>
      </c>
      <c r="K18" s="779" t="s">
        <v>420</v>
      </c>
      <c r="L18" s="779" t="s">
        <v>426</v>
      </c>
      <c r="M18" s="1872" t="s">
        <v>420</v>
      </c>
      <c r="N18" s="779" t="s">
        <v>428</v>
      </c>
    </row>
    <row r="19" spans="1:14" ht="27" customHeight="1">
      <c r="A19" s="1266">
        <v>1</v>
      </c>
      <c r="B19" s="2040" t="s">
        <v>2475</v>
      </c>
      <c r="C19" s="1266"/>
      <c r="D19" s="1809"/>
      <c r="E19" s="1405"/>
      <c r="F19" s="1804"/>
      <c r="G19" s="1405"/>
      <c r="H19" s="1405"/>
      <c r="I19" s="1405"/>
      <c r="J19" s="1808"/>
      <c r="K19" s="1405"/>
      <c r="L19" s="1405"/>
      <c r="M19" s="1808"/>
      <c r="N19" s="1600"/>
    </row>
    <row r="20" spans="1:14" ht="27" customHeight="1">
      <c r="A20" s="1266">
        <f>A19+1</f>
        <v>2</v>
      </c>
      <c r="B20" s="2040" t="s">
        <v>2476</v>
      </c>
      <c r="C20" s="1266"/>
      <c r="D20" s="1876"/>
      <c r="E20" s="1473"/>
      <c r="F20" s="1866"/>
      <c r="G20" s="1473"/>
      <c r="H20" s="1473"/>
      <c r="I20" s="1473"/>
      <c r="J20" s="1472"/>
      <c r="K20" s="1473"/>
      <c r="L20" s="1473"/>
      <c r="M20" s="1472"/>
      <c r="N20" s="1600"/>
    </row>
    <row r="21" spans="1:14" ht="27" customHeight="1">
      <c r="A21" s="1266">
        <f t="shared" ref="A21:A28" si="0">A20+1</f>
        <v>3</v>
      </c>
      <c r="B21" s="2040" t="s">
        <v>2477</v>
      </c>
      <c r="C21" s="1266"/>
      <c r="D21" s="1876"/>
      <c r="E21" s="1473"/>
      <c r="F21" s="1866"/>
      <c r="G21" s="1473"/>
      <c r="H21" s="1473"/>
      <c r="I21" s="1473"/>
      <c r="J21" s="1472"/>
      <c r="K21" s="1473"/>
      <c r="L21" s="1473"/>
      <c r="M21" s="1472"/>
      <c r="N21" s="1600"/>
    </row>
    <row r="22" spans="1:14" ht="27" customHeight="1">
      <c r="A22" s="1266">
        <f t="shared" si="0"/>
        <v>4</v>
      </c>
      <c r="B22" s="2040" t="s">
        <v>2478</v>
      </c>
      <c r="C22" s="1266"/>
      <c r="D22" s="1876"/>
      <c r="E22" s="1473"/>
      <c r="F22" s="1866"/>
      <c r="G22" s="1473"/>
      <c r="H22" s="1473"/>
      <c r="I22" s="1473"/>
      <c r="J22" s="1472"/>
      <c r="K22" s="1473"/>
      <c r="L22" s="1473"/>
      <c r="M22" s="1472"/>
      <c r="N22" s="1600"/>
    </row>
    <row r="23" spans="1:14" ht="27" customHeight="1">
      <c r="A23" s="1266">
        <f t="shared" si="0"/>
        <v>5</v>
      </c>
      <c r="B23" s="2040" t="s">
        <v>2479</v>
      </c>
      <c r="C23" s="1266"/>
      <c r="D23" s="1876"/>
      <c r="E23" s="1473"/>
      <c r="F23" s="1866"/>
      <c r="G23" s="1473"/>
      <c r="H23" s="1473"/>
      <c r="I23" s="1473"/>
      <c r="J23" s="1472"/>
      <c r="K23" s="1473"/>
      <c r="L23" s="1473"/>
      <c r="M23" s="1472"/>
      <c r="N23" s="1600"/>
    </row>
    <row r="24" spans="1:14" ht="27" customHeight="1">
      <c r="A24" s="1266">
        <f t="shared" si="0"/>
        <v>6</v>
      </c>
      <c r="B24" s="2040" t="s">
        <v>2480</v>
      </c>
      <c r="C24" s="1266"/>
      <c r="D24" s="1876"/>
      <c r="E24" s="1473"/>
      <c r="F24" s="1866"/>
      <c r="G24" s="1473"/>
      <c r="H24" s="1473"/>
      <c r="I24" s="1473"/>
      <c r="J24" s="1472"/>
      <c r="K24" s="1473"/>
      <c r="L24" s="1473"/>
      <c r="M24" s="1472"/>
      <c r="N24" s="1600"/>
    </row>
    <row r="25" spans="1:14" ht="27" customHeight="1">
      <c r="A25" s="1266">
        <f t="shared" si="0"/>
        <v>7</v>
      </c>
      <c r="B25" s="2040" t="s">
        <v>2481</v>
      </c>
      <c r="C25" s="1266"/>
      <c r="D25" s="1876"/>
      <c r="E25" s="1473"/>
      <c r="F25" s="1866"/>
      <c r="G25" s="1473"/>
      <c r="H25" s="1473"/>
      <c r="I25" s="1473"/>
      <c r="J25" s="1472"/>
      <c r="K25" s="1473"/>
      <c r="L25" s="1473"/>
      <c r="M25" s="1472"/>
      <c r="N25" s="1600"/>
    </row>
    <row r="26" spans="1:14" ht="27" customHeight="1">
      <c r="A26" s="1266">
        <f t="shared" si="0"/>
        <v>8</v>
      </c>
      <c r="B26" s="2040" t="s">
        <v>2482</v>
      </c>
      <c r="C26" s="1266"/>
      <c r="D26" s="1876"/>
      <c r="E26" s="1473"/>
      <c r="F26" s="1866"/>
      <c r="G26" s="1473"/>
      <c r="H26" s="1473"/>
      <c r="I26" s="1473"/>
      <c r="J26" s="1472"/>
      <c r="K26" s="1473"/>
      <c r="L26" s="1473"/>
      <c r="M26" s="1472"/>
      <c r="N26" s="1600"/>
    </row>
    <row r="27" spans="1:14" ht="27" customHeight="1">
      <c r="A27" s="1266">
        <f t="shared" si="0"/>
        <v>9</v>
      </c>
      <c r="B27" s="2044" t="s">
        <v>2483</v>
      </c>
      <c r="C27" s="1874"/>
      <c r="D27" s="1808"/>
      <c r="E27" s="1405"/>
      <c r="F27" s="1405"/>
      <c r="G27" s="1405"/>
      <c r="H27" s="1405"/>
      <c r="I27" s="1405"/>
      <c r="J27" s="1405"/>
      <c r="K27" s="1405"/>
      <c r="L27" s="1405"/>
      <c r="M27" s="1405"/>
      <c r="N27" s="1405"/>
    </row>
    <row r="28" spans="1:14" ht="27" customHeight="1">
      <c r="A28" s="1266">
        <f t="shared" si="0"/>
        <v>10</v>
      </c>
      <c r="B28" s="2044" t="s">
        <v>2484</v>
      </c>
      <c r="C28" s="1874"/>
      <c r="D28" s="1808"/>
      <c r="E28" s="1405"/>
      <c r="F28" s="1405"/>
      <c r="G28" s="1405"/>
      <c r="H28" s="1405"/>
      <c r="I28" s="1405"/>
      <c r="J28" s="1405"/>
      <c r="K28" s="1405"/>
      <c r="L28" s="1405"/>
      <c r="M28" s="1405"/>
      <c r="N28" s="1405"/>
    </row>
    <row r="29" spans="1:14" ht="27" customHeight="1">
      <c r="A29" s="1266">
        <f t="shared" ref="A29:A37" si="1">A28+1</f>
        <v>11</v>
      </c>
      <c r="B29" s="2040" t="s">
        <v>2485</v>
      </c>
      <c r="C29" s="1266"/>
      <c r="D29" s="1876"/>
      <c r="E29" s="1473"/>
      <c r="F29" s="1866"/>
      <c r="G29" s="1473"/>
      <c r="H29" s="1473"/>
      <c r="I29" s="1473"/>
      <c r="J29" s="1472"/>
      <c r="K29" s="1473"/>
      <c r="L29" s="1473"/>
      <c r="M29" s="1472"/>
      <c r="N29" s="1600"/>
    </row>
    <row r="30" spans="1:14" ht="27" customHeight="1">
      <c r="A30" s="1266">
        <f t="shared" si="1"/>
        <v>12</v>
      </c>
      <c r="B30" s="2040" t="s">
        <v>2486</v>
      </c>
      <c r="C30" s="1266"/>
      <c r="D30" s="1876"/>
      <c r="E30" s="1473"/>
      <c r="F30" s="1866"/>
      <c r="G30" s="1473"/>
      <c r="H30" s="1473"/>
      <c r="I30" s="1473"/>
      <c r="J30" s="1472"/>
      <c r="K30" s="1473"/>
      <c r="L30" s="1473"/>
      <c r="M30" s="1472"/>
      <c r="N30" s="1600"/>
    </row>
    <row r="31" spans="1:14" ht="27" customHeight="1">
      <c r="A31" s="1266">
        <f t="shared" si="1"/>
        <v>13</v>
      </c>
      <c r="B31" s="2040" t="s">
        <v>2487</v>
      </c>
      <c r="C31" s="1266"/>
      <c r="D31" s="1876"/>
      <c r="E31" s="1473"/>
      <c r="F31" s="1866"/>
      <c r="G31" s="1473"/>
      <c r="H31" s="1473"/>
      <c r="I31" s="1473"/>
      <c r="J31" s="1472"/>
      <c r="K31" s="1473"/>
      <c r="L31" s="1473"/>
      <c r="M31" s="1472"/>
      <c r="N31" s="1600"/>
    </row>
    <row r="32" spans="1:14" ht="27" customHeight="1">
      <c r="A32" s="1266">
        <f t="shared" si="1"/>
        <v>14</v>
      </c>
      <c r="B32" s="2044" t="s">
        <v>2488</v>
      </c>
      <c r="C32" s="1874"/>
      <c r="D32" s="1808"/>
      <c r="E32" s="1405"/>
      <c r="F32" s="1405"/>
      <c r="G32" s="1405"/>
      <c r="H32" s="1405"/>
      <c r="I32" s="1405"/>
      <c r="J32" s="1405"/>
      <c r="K32" s="1405"/>
      <c r="L32" s="1405"/>
      <c r="M32" s="1405"/>
      <c r="N32" s="1405"/>
    </row>
    <row r="33" spans="1:14" ht="27" customHeight="1">
      <c r="A33" s="1266">
        <f t="shared" si="1"/>
        <v>15</v>
      </c>
      <c r="B33" s="2044" t="s">
        <v>2489</v>
      </c>
      <c r="C33" s="1874"/>
      <c r="D33" s="1808"/>
      <c r="E33" s="1405"/>
      <c r="F33" s="1405"/>
      <c r="G33" s="1405"/>
      <c r="H33" s="1405"/>
      <c r="I33" s="1405"/>
      <c r="J33" s="1405"/>
      <c r="K33" s="1405"/>
      <c r="L33" s="1405"/>
      <c r="M33" s="1405"/>
      <c r="N33" s="1405"/>
    </row>
    <row r="34" spans="1:14" ht="27" customHeight="1">
      <c r="A34" s="1266">
        <f t="shared" si="1"/>
        <v>16</v>
      </c>
      <c r="B34" s="2044" t="s">
        <v>2490</v>
      </c>
      <c r="C34" s="1874"/>
      <c r="D34" s="1808"/>
      <c r="E34" s="1405"/>
      <c r="F34" s="1405"/>
      <c r="G34" s="1405"/>
      <c r="H34" s="1405"/>
      <c r="I34" s="1405"/>
      <c r="J34" s="1405"/>
      <c r="K34" s="1405"/>
      <c r="L34" s="1405"/>
      <c r="M34" s="1405"/>
      <c r="N34" s="1405"/>
    </row>
    <row r="35" spans="1:14" ht="27" customHeight="1">
      <c r="A35" s="1266">
        <f t="shared" si="1"/>
        <v>17</v>
      </c>
      <c r="B35" s="2044" t="s">
        <v>2491</v>
      </c>
      <c r="C35" s="1874"/>
      <c r="D35" s="1808"/>
      <c r="E35" s="1405"/>
      <c r="F35" s="1405"/>
      <c r="G35" s="1405"/>
      <c r="H35" s="1405"/>
      <c r="I35" s="1405"/>
      <c r="J35" s="1405"/>
      <c r="K35" s="1405"/>
      <c r="L35" s="1405"/>
      <c r="M35" s="1405"/>
      <c r="N35" s="1405"/>
    </row>
    <row r="36" spans="1:14" ht="27" customHeight="1">
      <c r="A36" s="1266">
        <f t="shared" si="1"/>
        <v>18</v>
      </c>
      <c r="B36" s="2044" t="s">
        <v>2492</v>
      </c>
      <c r="C36" s="1874"/>
      <c r="D36" s="1808"/>
      <c r="E36" s="1405"/>
      <c r="F36" s="1405"/>
      <c r="G36" s="1405"/>
      <c r="H36" s="1405"/>
      <c r="I36" s="1405"/>
      <c r="J36" s="1405"/>
      <c r="K36" s="1405"/>
      <c r="L36" s="1405"/>
      <c r="M36" s="1405"/>
      <c r="N36" s="1405"/>
    </row>
    <row r="37" spans="1:14" ht="27" customHeight="1">
      <c r="A37" s="1266">
        <f t="shared" si="1"/>
        <v>19</v>
      </c>
      <c r="B37" s="2044" t="s">
        <v>2493</v>
      </c>
      <c r="C37" s="1874"/>
      <c r="D37" s="1808"/>
      <c r="E37" s="1405"/>
      <c r="F37" s="1405"/>
      <c r="G37" s="1405"/>
      <c r="H37" s="1405"/>
      <c r="I37" s="1405"/>
      <c r="J37" s="1405"/>
      <c r="K37" s="1405"/>
      <c r="L37" s="1405"/>
      <c r="M37" s="1405"/>
      <c r="N37" s="1405"/>
    </row>
    <row r="38" spans="1:14" ht="27" customHeight="1">
      <c r="A38" s="1266">
        <f>A37+1</f>
        <v>20</v>
      </c>
      <c r="B38" s="2044" t="s">
        <v>2494</v>
      </c>
      <c r="C38" s="1874"/>
      <c r="D38" s="1808"/>
      <c r="E38" s="1405"/>
      <c r="F38" s="1405"/>
      <c r="G38" s="1405"/>
      <c r="H38" s="1405"/>
      <c r="I38" s="1405"/>
      <c r="J38" s="1405"/>
      <c r="K38" s="1405"/>
      <c r="L38" s="1405"/>
      <c r="M38" s="1405"/>
      <c r="N38" s="1405"/>
    </row>
    <row r="39" spans="1:14" ht="27" customHeight="1">
      <c r="A39" s="1266">
        <f>A38+1</f>
        <v>21</v>
      </c>
      <c r="B39" s="2043" t="s">
        <v>2495</v>
      </c>
      <c r="C39" s="1874"/>
      <c r="D39" s="1808"/>
      <c r="E39" s="1405"/>
      <c r="F39" s="1405"/>
      <c r="G39" s="1405"/>
      <c r="H39" s="1405"/>
      <c r="I39" s="1405"/>
      <c r="J39" s="1405"/>
      <c r="K39" s="1405"/>
      <c r="L39" s="1405"/>
      <c r="M39" s="1405"/>
      <c r="N39" s="1405"/>
    </row>
  </sheetData>
  <customSheetViews>
    <customSheetView guid="{9C153D9E-615C-443B-9CD7-551163282F03}" scale="106" showPageBreaks="1" printArea="1" view="pageBreakPreview">
      <selection activeCell="L17" sqref="L17"/>
      <pageMargins left="0" right="0" top="0" bottom="0" header="0" footer="0"/>
      <pageSetup scale="77" firstPageNumber="77" orientation="landscape" r:id="rId1"/>
      <headerFooter>
        <oddFooter>&amp;C&amp;P</oddFooter>
      </headerFooter>
    </customSheetView>
    <customSheetView guid="{BE9F68F7-D81B-4526-9959-D871EC50BDFF}" scale="106" showPageBreaks="1" printArea="1" view="pageBreakPreview">
      <selection activeCell="L17" sqref="L17"/>
      <pageMargins left="0" right="0" top="0" bottom="0" header="0" footer="0"/>
      <pageSetup scale="77" firstPageNumber="77" orientation="landscape" r:id="rId2"/>
      <headerFooter>
        <oddFooter>&amp;C&amp;P</oddFooter>
      </headerFooter>
    </customSheetView>
    <customSheetView guid="{EF790C5B-80DA-4544-9EB7-EFE0323B2298}" scale="150" showPageBreaks="1" printArea="1" view="pageBreakPreview" topLeftCell="A37">
      <selection activeCell="B36" sqref="B36"/>
      <pageMargins left="0" right="0" top="0" bottom="0" header="0" footer="0"/>
      <pageSetup scale="77" firstPageNumber="77" orientation="landscape" r:id="rId3"/>
      <headerFooter>
        <oddFooter>&amp;C&amp;P</oddFooter>
      </headerFooter>
    </customSheetView>
    <customSheetView guid="{C9D2DBB1-CD01-4732-8C86-64BE16C94753}" scale="90" showPageBreaks="1" printArea="1" view="pageBreakPreview">
      <selection activeCell="A28" sqref="A28"/>
      <pageMargins left="0" right="0" top="0" bottom="0" header="0" footer="0"/>
      <pageSetup scale="77" firstPageNumber="77" orientation="landscape" r:id="rId4"/>
      <headerFooter>
        <oddFooter>&amp;C&amp;P</oddFooter>
      </headerFooter>
    </customSheetView>
    <customSheetView guid="{BFEC163F-7C4E-49B7-9F32-15225772E72F}" scale="106" showPageBreaks="1" printArea="1" view="pageBreakPreview" topLeftCell="A28">
      <selection activeCell="L17" sqref="L17"/>
      <pageMargins left="0" right="0" top="0" bottom="0" header="0" footer="0"/>
      <pageSetup scale="77" firstPageNumber="77" orientation="landscape" r:id="rId5"/>
      <headerFooter>
        <oddFooter>&amp;C&amp;P</oddFooter>
      </headerFooter>
    </customSheetView>
    <customSheetView guid="{5529DB6B-163A-4048-9107-267B30B97DF3}" scale="106" showPageBreaks="1" printArea="1" view="pageBreakPreview" topLeftCell="A28">
      <selection activeCell="L17" sqref="L17"/>
      <pageMargins left="0" right="0" top="0" bottom="0" header="0" footer="0"/>
      <pageSetup scale="77" firstPageNumber="77" orientation="landscape" r:id="rId6"/>
      <headerFooter>
        <oddFooter>&amp;C&amp;P</oddFooter>
      </headerFooter>
    </customSheetView>
    <customSheetView guid="{9B0763AA-FA4B-479A-900C-C113E8BEEFEB}" scale="106" showPageBreaks="1" printArea="1" view="pageBreakPreview">
      <selection activeCell="L17" sqref="L17"/>
      <pageMargins left="0" right="0" top="0" bottom="0" header="0" footer="0"/>
      <pageSetup scale="77" firstPageNumber="77" orientation="landscape" r:id="rId7"/>
      <headerFooter>
        <oddFooter>&amp;C&amp;P</oddFooter>
      </headerFooter>
    </customSheetView>
    <customSheetView guid="{89903799-8228-4A6D-8A81-7F80BC61226D}" scale="150" showPageBreaks="1" printArea="1" view="pageBreakPreview" topLeftCell="A37">
      <selection activeCell="B36" sqref="B36"/>
      <pageMargins left="0" right="0" top="0" bottom="0" header="0" footer="0"/>
      <pageSetup scale="77" firstPageNumber="77" orientation="landscape" r:id="rId8"/>
      <headerFooter>
        <oddFooter>&amp;C&amp;P</oddFooter>
      </headerFooter>
    </customSheetView>
    <customSheetView guid="{2524630E-605A-4616-AD5D-6CF7B1E9752C}" scale="150" showPageBreaks="1" printArea="1" view="pageBreakPreview" topLeftCell="E2">
      <selection activeCell="L5" sqref="L5:N16"/>
      <pageMargins left="0" right="0" top="0" bottom="0" header="0" footer="0"/>
      <pageSetup scale="77" firstPageNumber="77" orientation="landscape" r:id="rId9"/>
      <headerFooter>
        <oddFooter>&amp;C&amp;P</oddFooter>
      </headerFooter>
    </customSheetView>
  </customSheetViews>
  <mergeCells count="13">
    <mergeCell ref="A4:B4"/>
    <mergeCell ref="D4:E4"/>
    <mergeCell ref="I4:J4"/>
    <mergeCell ref="L4:N4"/>
    <mergeCell ref="A5:B16"/>
    <mergeCell ref="C5:C16"/>
    <mergeCell ref="D5:E16"/>
    <mergeCell ref="F5:F16"/>
    <mergeCell ref="G5:G16"/>
    <mergeCell ref="H5:H16"/>
    <mergeCell ref="I5:J16"/>
    <mergeCell ref="K5:K16"/>
    <mergeCell ref="L5:N16"/>
  </mergeCells>
  <pageMargins left="0.314" right="0.314" top="0.11799999999999999" bottom="0.27500000000000002" header="0.157" footer="0.11799999999999999"/>
  <pageSetup scale="71" firstPageNumber="77" orientation="landscape" r:id="rId10"/>
  <headerFooter>
    <oddFooter>&amp;C&amp;P</oddFooter>
  </headerFooter>
  <rowBreaks count="1" manualBreakCount="1">
    <brk id="39" max="13" man="1"/>
  </rowBreaks>
  <drawing r:id="rId1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000-000000000000}">
  <dimension ref="A1:U34"/>
  <sheetViews>
    <sheetView view="pageBreakPreview" zoomScale="124" zoomScaleNormal="130" zoomScaleSheetLayoutView="140" workbookViewId="0">
      <selection activeCell="U34" sqref="U34"/>
    </sheetView>
  </sheetViews>
  <sheetFormatPr defaultColWidth="9.140625" defaultRowHeight="12.75"/>
  <cols>
    <col min="1" max="1" width="4.140625" style="271" customWidth="1"/>
    <col min="2" max="2" width="32.28515625" style="271" customWidth="1"/>
    <col min="3" max="3" width="6.140625" style="271" customWidth="1"/>
    <col min="4" max="4" width="6.28515625" style="271" customWidth="1"/>
    <col min="5" max="5" width="6.5703125" style="115" customWidth="1"/>
    <col min="6" max="6" width="18.85546875" style="115" customWidth="1"/>
    <col min="7" max="7" width="7.140625" style="115" bestFit="1" customWidth="1"/>
    <col min="8" max="8" width="10.5703125" style="115" customWidth="1"/>
    <col min="9" max="9" width="10.28515625" style="115" bestFit="1" customWidth="1"/>
    <col min="10" max="10" width="9.42578125" style="115" customWidth="1"/>
    <col min="11" max="11" width="8.28515625" style="892" customWidth="1"/>
    <col min="12" max="12" width="7.140625" style="892" customWidth="1"/>
    <col min="13" max="13" width="14.42578125" style="1258" customWidth="1"/>
    <col min="14" max="14" width="10.140625" style="769" bestFit="1" customWidth="1"/>
    <col min="15" max="15" width="10.140625" style="769" customWidth="1"/>
    <col min="16" max="16" width="16.7109375" style="769" customWidth="1"/>
    <col min="17" max="17" width="10.140625" style="769" customWidth="1"/>
    <col min="18" max="18" width="8.140625" style="678" bestFit="1" customWidth="1"/>
    <col min="19" max="19" width="6.42578125" style="678" customWidth="1"/>
    <col min="20" max="20" width="7.7109375" style="678" customWidth="1"/>
    <col min="21" max="21" width="7.140625" style="678" customWidth="1"/>
    <col min="22" max="16384" width="9.140625" style="271"/>
  </cols>
  <sheetData>
    <row r="1" spans="1:21">
      <c r="A1" s="527"/>
      <c r="B1" s="541" t="s">
        <v>2496</v>
      </c>
      <c r="C1" s="541"/>
      <c r="H1" s="542"/>
      <c r="J1" s="542" t="s">
        <v>2303</v>
      </c>
      <c r="R1" s="16"/>
    </row>
    <row r="2" spans="1:21">
      <c r="A2" s="527"/>
      <c r="C2" s="541"/>
      <c r="H2" s="542"/>
      <c r="J2" s="542" t="s">
        <v>2497</v>
      </c>
      <c r="M2" s="1259"/>
      <c r="N2" s="1260"/>
      <c r="O2" s="1260"/>
      <c r="P2" s="1260"/>
      <c r="Q2" s="1260"/>
      <c r="R2" s="16"/>
    </row>
    <row r="3" spans="1:21" ht="13.5">
      <c r="F3" s="114"/>
      <c r="H3" s="114"/>
      <c r="I3" s="114"/>
      <c r="J3" s="114"/>
      <c r="K3" s="906"/>
      <c r="L3" s="906"/>
    </row>
    <row r="4" spans="1:21" ht="13.5" customHeight="1">
      <c r="A4" s="2899" t="s">
        <v>2498</v>
      </c>
      <c r="B4" s="1857" t="s">
        <v>2499</v>
      </c>
      <c r="C4" s="1857" t="s">
        <v>2500</v>
      </c>
      <c r="D4" s="1857" t="s">
        <v>2501</v>
      </c>
      <c r="E4" s="1858" t="s">
        <v>2502</v>
      </c>
      <c r="F4" s="1877" t="s">
        <v>2503</v>
      </c>
      <c r="G4" s="1858" t="s">
        <v>2504</v>
      </c>
      <c r="H4" s="1858" t="s">
        <v>2505</v>
      </c>
      <c r="I4" s="1858" t="s">
        <v>2506</v>
      </c>
      <c r="J4" s="1858" t="s">
        <v>2507</v>
      </c>
      <c r="K4" s="2903" t="str">
        <f>CONCATENATE("(16C.",TEXT(K34,"00"),")")</f>
        <v>(16C.00)</v>
      </c>
      <c r="L4" s="2904"/>
      <c r="M4" s="1857" t="str">
        <f t="shared" ref="M4:R4" si="0">CONCATENATE("(16C.",TEXT(M34,"00"),")")</f>
        <v>(16C.00)</v>
      </c>
      <c r="N4" s="1857" t="str">
        <f t="shared" si="0"/>
        <v>(16C.00)</v>
      </c>
      <c r="O4" s="1857" t="str">
        <f t="shared" si="0"/>
        <v>(16C.00)</v>
      </c>
      <c r="P4" s="1857" t="str">
        <f t="shared" si="0"/>
        <v>(16C.00)</v>
      </c>
      <c r="Q4" s="1857" t="str">
        <f t="shared" si="0"/>
        <v>(16C.00)</v>
      </c>
      <c r="R4" s="2903" t="str">
        <f t="shared" si="0"/>
        <v>(16C.00)</v>
      </c>
      <c r="S4" s="2905"/>
      <c r="T4" s="2905"/>
      <c r="U4" s="2904"/>
    </row>
    <row r="5" spans="1:21" ht="12.75" customHeight="1">
      <c r="A5" s="2900"/>
      <c r="B5" s="1878"/>
      <c r="C5" s="2509" t="s">
        <v>2508</v>
      </c>
      <c r="D5" s="2509" t="s">
        <v>2509</v>
      </c>
      <c r="E5" s="2895" t="s">
        <v>2510</v>
      </c>
      <c r="F5" s="2895" t="s">
        <v>2511</v>
      </c>
      <c r="G5" s="2895" t="s">
        <v>2512</v>
      </c>
      <c r="H5" s="2895" t="str">
        <f>CONCATENATE("Que sistema de cultura utilizou?
1 = Pura ►",J4,"
2 = Associação de culturas")</f>
        <v>Que sistema de cultura utilizou?
1 = Pura ►(16C.09)
2 = Associação de culturas</v>
      </c>
      <c r="I5" s="2895" t="s">
        <v>2513</v>
      </c>
      <c r="J5" s="2895" t="s">
        <v>2514</v>
      </c>
      <c r="K5" s="2906" t="s">
        <v>2515</v>
      </c>
      <c r="L5" s="2907"/>
      <c r="M5" s="2909" t="s">
        <v>2516</v>
      </c>
      <c r="N5" s="2509" t="str">
        <f>CONCATENATE("Que porcentagem da área você ainda tem para colher?
Se 100% (colheita não iniciada) ► Próximo cultura ")</f>
        <v xml:space="preserve">Que porcentagem da área você ainda tem para colher?
Se 100% (colheita não iniciada) ► Próximo cultura </v>
      </c>
      <c r="O5" s="2509" t="str">
        <f>CONCATENATE("A área colhida foi menor do que a área plantada neste parcela?
1 = Sim
2 = Não ►",R4 )</f>
        <v>A área colhida foi menor do que a área plantada neste parcela?
1 = Sim
2 = Não ►(16C.00)</v>
      </c>
      <c r="P5" s="2509" t="s">
        <v>2517</v>
      </c>
      <c r="Q5" s="2509" t="s">
        <v>2518</v>
      </c>
      <c r="R5" s="2528" t="str">
        <f>CONCATENATE("Qual a quantidade já colhida na presente campanha ", [2]Variables!C4, "?")</f>
        <v>Qual a quantidade já colhida na presente campanha 2021/2022?</v>
      </c>
      <c r="S5" s="2910"/>
      <c r="T5" s="2910"/>
      <c r="U5" s="2529"/>
    </row>
    <row r="6" spans="1:21" ht="13.5" customHeight="1">
      <c r="A6" s="2900"/>
      <c r="B6" s="1512" t="s">
        <v>188</v>
      </c>
      <c r="C6" s="2231"/>
      <c r="D6" s="2231"/>
      <c r="E6" s="2896"/>
      <c r="F6" s="2896"/>
      <c r="G6" s="2896"/>
      <c r="H6" s="2896"/>
      <c r="I6" s="2896"/>
      <c r="J6" s="2896"/>
      <c r="K6" s="2908"/>
      <c r="L6" s="2746"/>
      <c r="M6" s="2909"/>
      <c r="N6" s="2231"/>
      <c r="O6" s="2231"/>
      <c r="P6" s="2231"/>
      <c r="Q6" s="2231"/>
      <c r="R6" s="2530"/>
      <c r="S6" s="2254"/>
      <c r="T6" s="2254"/>
      <c r="U6" s="2531"/>
    </row>
    <row r="7" spans="1:21" ht="12.75" customHeight="1">
      <c r="A7" s="2900"/>
      <c r="B7" s="1594"/>
      <c r="C7" s="2231"/>
      <c r="D7" s="2231"/>
      <c r="E7" s="2896"/>
      <c r="F7" s="2896"/>
      <c r="G7" s="2896"/>
      <c r="H7" s="2896"/>
      <c r="I7" s="2896"/>
      <c r="J7" s="2896"/>
      <c r="K7" s="2908"/>
      <c r="L7" s="2746"/>
      <c r="M7" s="2909"/>
      <c r="N7" s="2231"/>
      <c r="O7" s="2231"/>
      <c r="P7" s="2231"/>
      <c r="Q7" s="2231"/>
      <c r="R7" s="1879" t="s">
        <v>2519</v>
      </c>
      <c r="S7" s="1075"/>
      <c r="T7" s="1075"/>
      <c r="U7" s="1078"/>
    </row>
    <row r="8" spans="1:21" ht="12.75" customHeight="1">
      <c r="A8" s="2900"/>
      <c r="B8" s="2902" t="s">
        <v>2520</v>
      </c>
      <c r="C8" s="2231"/>
      <c r="D8" s="2231"/>
      <c r="E8" s="2896"/>
      <c r="F8" s="2896"/>
      <c r="G8" s="2896"/>
      <c r="H8" s="2896"/>
      <c r="I8" s="2896"/>
      <c r="J8" s="2896"/>
      <c r="K8" s="2908"/>
      <c r="L8" s="2746"/>
      <c r="M8" s="2909"/>
      <c r="N8" s="2231"/>
      <c r="O8" s="2231"/>
      <c r="P8" s="2231"/>
      <c r="Q8" s="2231"/>
      <c r="R8" s="2256" t="s">
        <v>2521</v>
      </c>
      <c r="S8" s="2257"/>
      <c r="T8" s="2257"/>
      <c r="U8" s="2258"/>
    </row>
    <row r="9" spans="1:21" ht="12.75" customHeight="1">
      <c r="A9" s="2900"/>
      <c r="B9" s="2702"/>
      <c r="C9" s="2231"/>
      <c r="D9" s="2231"/>
      <c r="E9" s="2896"/>
      <c r="F9" s="2896"/>
      <c r="G9" s="2896"/>
      <c r="H9" s="2896"/>
      <c r="I9" s="2896"/>
      <c r="J9" s="2896"/>
      <c r="K9" s="2908"/>
      <c r="L9" s="2746"/>
      <c r="M9" s="2909"/>
      <c r="N9" s="2231"/>
      <c r="O9" s="2231"/>
      <c r="P9" s="2231"/>
      <c r="Q9" s="2231"/>
      <c r="R9" s="2256"/>
      <c r="S9" s="2257"/>
      <c r="T9" s="2257"/>
      <c r="U9" s="2258"/>
    </row>
    <row r="10" spans="1:21" ht="13.5" customHeight="1">
      <c r="A10" s="2900"/>
      <c r="B10" s="2702"/>
      <c r="C10" s="2231"/>
      <c r="D10" s="2231"/>
      <c r="E10" s="2896"/>
      <c r="F10" s="2896"/>
      <c r="G10" s="2896"/>
      <c r="H10" s="2896"/>
      <c r="I10" s="2896"/>
      <c r="J10" s="2896"/>
      <c r="K10" s="2908"/>
      <c r="L10" s="2746"/>
      <c r="M10" s="2909"/>
      <c r="N10" s="2231"/>
      <c r="O10" s="2231"/>
      <c r="P10" s="2231"/>
      <c r="Q10" s="2231"/>
      <c r="R10" s="2256"/>
      <c r="S10" s="2257"/>
      <c r="T10" s="2257"/>
      <c r="U10" s="2258"/>
    </row>
    <row r="11" spans="1:21" ht="17.25" customHeight="1">
      <c r="A11" s="2900"/>
      <c r="B11" s="2702"/>
      <c r="C11" s="1776"/>
      <c r="D11" s="1776"/>
      <c r="E11" s="2896"/>
      <c r="F11" s="2896"/>
      <c r="G11" s="2896"/>
      <c r="H11" s="2896"/>
      <c r="I11" s="2896"/>
      <c r="J11" s="2896"/>
      <c r="K11" s="2908"/>
      <c r="L11" s="2746"/>
      <c r="M11" s="2909"/>
      <c r="N11" s="2231"/>
      <c r="O11" s="2231"/>
      <c r="P11" s="2231"/>
      <c r="Q11" s="2231"/>
      <c r="R11" s="2911" t="s">
        <v>2522</v>
      </c>
      <c r="S11" s="2912"/>
      <c r="T11" s="2912"/>
      <c r="U11" s="2912"/>
    </row>
    <row r="12" spans="1:21" ht="12.75" customHeight="1">
      <c r="A12" s="2900"/>
      <c r="B12" s="2702"/>
      <c r="C12" s="1776"/>
      <c r="D12" s="1776"/>
      <c r="E12" s="2896"/>
      <c r="F12" s="2896"/>
      <c r="G12" s="2896"/>
      <c r="H12" s="2896"/>
      <c r="I12" s="2896"/>
      <c r="J12" s="2896"/>
      <c r="K12" s="2908"/>
      <c r="L12" s="2746"/>
      <c r="M12" s="2909"/>
      <c r="N12" s="2231"/>
      <c r="O12" s="2231"/>
      <c r="P12" s="2231"/>
      <c r="Q12" s="2231"/>
      <c r="R12" s="2911"/>
      <c r="S12" s="2912"/>
      <c r="T12" s="2912"/>
      <c r="U12" s="2912"/>
    </row>
    <row r="13" spans="1:21" ht="30.75" customHeight="1">
      <c r="A13" s="2900"/>
      <c r="B13" s="2702"/>
      <c r="C13" s="1776"/>
      <c r="D13" s="1776"/>
      <c r="E13" s="2896"/>
      <c r="F13" s="2896"/>
      <c r="G13" s="2896"/>
      <c r="H13" s="2896"/>
      <c r="I13" s="2896"/>
      <c r="J13" s="2896"/>
      <c r="K13" s="2908"/>
      <c r="L13" s="2746"/>
      <c r="M13" s="2909"/>
      <c r="N13" s="2231"/>
      <c r="O13" s="2231"/>
      <c r="P13" s="2231"/>
      <c r="Q13" s="2231"/>
      <c r="R13" s="2911"/>
      <c r="S13" s="2912"/>
      <c r="T13" s="2912"/>
      <c r="U13" s="2912"/>
    </row>
    <row r="14" spans="1:21" ht="13.5" customHeight="1">
      <c r="A14" s="2900"/>
      <c r="B14" s="2702"/>
      <c r="C14" s="1776"/>
      <c r="D14" s="1776"/>
      <c r="E14" s="2896"/>
      <c r="F14" s="2896"/>
      <c r="G14" s="2896"/>
      <c r="H14" s="2896"/>
      <c r="I14" s="2896"/>
      <c r="J14" s="2896"/>
      <c r="K14" s="2908"/>
      <c r="L14" s="2746"/>
      <c r="M14" s="2909"/>
      <c r="N14" s="2231"/>
      <c r="O14" s="2231"/>
      <c r="P14" s="2231"/>
      <c r="Q14" s="1434"/>
      <c r="R14" s="2256" t="s">
        <v>2523</v>
      </c>
      <c r="S14" s="2257"/>
      <c r="T14" s="1075"/>
      <c r="U14" s="1078"/>
    </row>
    <row r="15" spans="1:21" ht="13.5" customHeight="1">
      <c r="A15" s="2900"/>
      <c r="B15" s="2702"/>
      <c r="C15" s="1776"/>
      <c r="D15" s="1776"/>
      <c r="E15" s="2896"/>
      <c r="F15" s="2896"/>
      <c r="G15" s="2896"/>
      <c r="H15" s="2896"/>
      <c r="I15" s="2896"/>
      <c r="J15" s="2896"/>
      <c r="K15" s="2908"/>
      <c r="L15" s="2746"/>
      <c r="M15" s="2909"/>
      <c r="N15" s="2231"/>
      <c r="O15" s="2231"/>
      <c r="P15" s="2231"/>
      <c r="Q15" s="1434"/>
      <c r="R15" s="2256" t="s">
        <v>2524</v>
      </c>
      <c r="S15" s="2257"/>
      <c r="T15" s="2257"/>
      <c r="U15" s="2258"/>
    </row>
    <row r="16" spans="1:21" ht="18.75" customHeight="1">
      <c r="A16" s="2900"/>
      <c r="B16" s="2702"/>
      <c r="C16" s="1776"/>
      <c r="D16" s="1776"/>
      <c r="E16" s="2896"/>
      <c r="F16" s="2896"/>
      <c r="G16" s="2896"/>
      <c r="H16" s="2896"/>
      <c r="I16" s="2896"/>
      <c r="J16" s="2896"/>
      <c r="K16" s="1456"/>
      <c r="L16" s="1456"/>
      <c r="M16" s="2909"/>
      <c r="N16" s="2231"/>
      <c r="O16" s="2231"/>
      <c r="P16" s="2231"/>
      <c r="Q16" s="1434"/>
      <c r="R16" s="2669"/>
      <c r="S16" s="2536"/>
      <c r="T16" s="2536"/>
      <c r="U16" s="2537"/>
    </row>
    <row r="17" spans="1:21" ht="55.5" customHeight="1">
      <c r="A17" s="2900"/>
      <c r="B17" s="2703"/>
      <c r="C17" s="1863"/>
      <c r="D17" s="1863"/>
      <c r="E17" s="2898"/>
      <c r="F17" s="2897"/>
      <c r="G17" s="2898"/>
      <c r="H17" s="2898"/>
      <c r="I17" s="2898"/>
      <c r="J17" s="2898"/>
      <c r="K17" s="1474" t="s">
        <v>2428</v>
      </c>
      <c r="L17" s="1880" t="s">
        <v>2429</v>
      </c>
      <c r="M17" s="1262"/>
      <c r="N17" s="2367"/>
      <c r="O17" s="1862"/>
      <c r="P17" s="2367"/>
      <c r="Q17" s="1862"/>
      <c r="R17" s="1472" t="s">
        <v>2525</v>
      </c>
      <c r="S17" s="1473" t="s">
        <v>2526</v>
      </c>
      <c r="T17" s="1473" t="s">
        <v>2527</v>
      </c>
      <c r="U17" s="1473" t="s">
        <v>2528</v>
      </c>
    </row>
    <row r="18" spans="1:21" ht="27">
      <c r="A18" s="2901"/>
      <c r="B18" s="1066" t="s">
        <v>2442</v>
      </c>
      <c r="C18" s="1066" t="s">
        <v>420</v>
      </c>
      <c r="D18" s="1066" t="s">
        <v>420</v>
      </c>
      <c r="E18" s="1881" t="s">
        <v>420</v>
      </c>
      <c r="F18" s="1882" t="s">
        <v>1774</v>
      </c>
      <c r="G18" s="1883" t="s">
        <v>187</v>
      </c>
      <c r="H18" s="1884" t="s">
        <v>420</v>
      </c>
      <c r="I18" s="1884" t="s">
        <v>2529</v>
      </c>
      <c r="J18" s="1884" t="s">
        <v>420</v>
      </c>
      <c r="K18" s="1474" t="s">
        <v>426</v>
      </c>
      <c r="L18" s="1263" t="s">
        <v>420</v>
      </c>
      <c r="M18" s="1263" t="s">
        <v>420</v>
      </c>
      <c r="N18" s="1264" t="s">
        <v>2530</v>
      </c>
      <c r="O18" s="1263" t="s">
        <v>420</v>
      </c>
      <c r="P18" s="1263" t="s">
        <v>420</v>
      </c>
      <c r="Q18" s="1474" t="s">
        <v>426</v>
      </c>
      <c r="R18" s="1474" t="s">
        <v>426</v>
      </c>
      <c r="S18" s="1263" t="s">
        <v>420</v>
      </c>
      <c r="T18" s="1474" t="s">
        <v>426</v>
      </c>
      <c r="U18" s="1263" t="s">
        <v>420</v>
      </c>
    </row>
    <row r="19" spans="1:21" ht="17.45" customHeight="1">
      <c r="A19" s="1885" t="s">
        <v>775</v>
      </c>
      <c r="B19" s="770"/>
      <c r="C19" s="770"/>
      <c r="D19" s="770"/>
      <c r="E19" s="1704"/>
      <c r="F19" s="1886"/>
      <c r="G19" s="1704"/>
      <c r="H19" s="1886"/>
      <c r="I19" s="1886"/>
      <c r="J19" s="1886"/>
      <c r="K19" s="1271"/>
      <c r="L19" s="1271"/>
      <c r="M19" s="1265"/>
      <c r="N19" s="1266"/>
      <c r="O19" s="1266"/>
      <c r="P19" s="1266"/>
      <c r="Q19" s="1266"/>
      <c r="R19" s="1405"/>
      <c r="S19" s="1405"/>
      <c r="T19" s="1405"/>
      <c r="U19" s="1405"/>
    </row>
    <row r="20" spans="1:21" ht="17.45" customHeight="1">
      <c r="A20" s="1885" t="s">
        <v>776</v>
      </c>
      <c r="B20" s="770"/>
      <c r="C20" s="770"/>
      <c r="D20" s="770"/>
      <c r="E20" s="1886"/>
      <c r="F20" s="1886"/>
      <c r="G20" s="1886"/>
      <c r="H20" s="1886"/>
      <c r="I20" s="1886"/>
      <c r="J20" s="1886"/>
      <c r="K20" s="1271"/>
      <c r="L20" s="1271"/>
      <c r="M20" s="1265"/>
      <c r="N20" s="1266"/>
      <c r="O20" s="1266"/>
      <c r="P20" s="1266"/>
      <c r="Q20" s="1266"/>
      <c r="R20" s="1405"/>
      <c r="S20" s="1405"/>
      <c r="T20" s="1405"/>
      <c r="U20" s="1405"/>
    </row>
    <row r="21" spans="1:21" ht="17.45" customHeight="1">
      <c r="A21" s="1885" t="s">
        <v>1371</v>
      </c>
      <c r="B21" s="770"/>
      <c r="C21" s="770"/>
      <c r="D21" s="770"/>
      <c r="E21" s="1886"/>
      <c r="F21" s="1886"/>
      <c r="G21" s="1886"/>
      <c r="H21" s="1886"/>
      <c r="I21" s="1886"/>
      <c r="J21" s="1886"/>
      <c r="K21" s="1271"/>
      <c r="L21" s="1271"/>
      <c r="M21" s="1265"/>
      <c r="N21" s="1266"/>
      <c r="O21" s="1266"/>
      <c r="P21" s="1266"/>
      <c r="Q21" s="1266"/>
      <c r="R21" s="1405"/>
      <c r="S21" s="1405"/>
      <c r="T21" s="1405"/>
      <c r="U21" s="1405"/>
    </row>
    <row r="22" spans="1:21" ht="17.45" customHeight="1">
      <c r="A22" s="1885" t="s">
        <v>1375</v>
      </c>
      <c r="B22" s="770"/>
      <c r="C22" s="770"/>
      <c r="D22" s="770"/>
      <c r="E22" s="1886"/>
      <c r="F22" s="1886"/>
      <c r="G22" s="1886"/>
      <c r="H22" s="1886"/>
      <c r="I22" s="1886"/>
      <c r="J22" s="1886"/>
      <c r="K22" s="1271"/>
      <c r="L22" s="1271"/>
      <c r="M22" s="1265"/>
      <c r="N22" s="1266"/>
      <c r="O22" s="1266"/>
      <c r="P22" s="1266"/>
      <c r="Q22" s="1266"/>
      <c r="R22" s="1405"/>
      <c r="S22" s="1405"/>
      <c r="T22" s="1405"/>
      <c r="U22" s="1405"/>
    </row>
    <row r="23" spans="1:21" ht="17.45" customHeight="1">
      <c r="A23" s="1885" t="s">
        <v>1377</v>
      </c>
      <c r="B23" s="770"/>
      <c r="C23" s="770"/>
      <c r="D23" s="770"/>
      <c r="E23" s="1886"/>
      <c r="F23" s="1886"/>
      <c r="G23" s="1886"/>
      <c r="H23" s="1886"/>
      <c r="I23" s="1886"/>
      <c r="J23" s="1886"/>
      <c r="K23" s="1271"/>
      <c r="L23" s="1271"/>
      <c r="M23" s="1265"/>
      <c r="N23" s="1266"/>
      <c r="O23" s="1266"/>
      <c r="P23" s="1266"/>
      <c r="Q23" s="1266"/>
      <c r="R23" s="1405"/>
      <c r="S23" s="1405"/>
      <c r="T23" s="1405"/>
      <c r="U23" s="1405"/>
    </row>
    <row r="24" spans="1:21" ht="17.45" customHeight="1">
      <c r="A24" s="1885" t="s">
        <v>1379</v>
      </c>
      <c r="B24" s="770"/>
      <c r="C24" s="770"/>
      <c r="D24" s="770"/>
      <c r="E24" s="1886"/>
      <c r="F24" s="1886"/>
      <c r="G24" s="1886"/>
      <c r="H24" s="1886"/>
      <c r="I24" s="1886"/>
      <c r="J24" s="1886"/>
      <c r="K24" s="1271"/>
      <c r="L24" s="1271"/>
      <c r="M24" s="1265"/>
      <c r="N24" s="1266"/>
      <c r="O24" s="1266"/>
      <c r="P24" s="1266"/>
      <c r="Q24" s="1266"/>
      <c r="R24" s="1405"/>
      <c r="S24" s="1405"/>
      <c r="T24" s="1405"/>
      <c r="U24" s="1405"/>
    </row>
    <row r="25" spans="1:21" ht="17.45" customHeight="1">
      <c r="A25" s="1885" t="s">
        <v>1382</v>
      </c>
      <c r="B25" s="770"/>
      <c r="C25" s="770"/>
      <c r="D25" s="770"/>
      <c r="E25" s="1886"/>
      <c r="F25" s="1886"/>
      <c r="G25" s="1886"/>
      <c r="H25" s="1886"/>
      <c r="I25" s="1886"/>
      <c r="J25" s="1886"/>
      <c r="K25" s="1271"/>
      <c r="L25" s="1271"/>
      <c r="M25" s="1265"/>
      <c r="N25" s="1266"/>
      <c r="O25" s="1266"/>
      <c r="P25" s="1266"/>
      <c r="Q25" s="1266"/>
      <c r="R25" s="1405"/>
      <c r="S25" s="1405"/>
      <c r="T25" s="1405"/>
      <c r="U25" s="1405"/>
    </row>
    <row r="26" spans="1:21" ht="17.45" customHeight="1">
      <c r="A26" s="1885" t="s">
        <v>1385</v>
      </c>
      <c r="B26" s="770"/>
      <c r="C26" s="770"/>
      <c r="D26" s="770"/>
      <c r="E26" s="1886"/>
      <c r="F26" s="1886"/>
      <c r="G26" s="1886"/>
      <c r="H26" s="1886"/>
      <c r="I26" s="1886"/>
      <c r="J26" s="1886"/>
      <c r="K26" s="1271"/>
      <c r="L26" s="1271"/>
      <c r="M26" s="1265"/>
      <c r="N26" s="1266"/>
      <c r="O26" s="1266"/>
      <c r="P26" s="1266"/>
      <c r="Q26" s="1266"/>
      <c r="R26" s="1405"/>
      <c r="S26" s="1405"/>
      <c r="T26" s="1405"/>
      <c r="U26" s="1405"/>
    </row>
    <row r="27" spans="1:21" ht="17.45" customHeight="1">
      <c r="A27" s="1885" t="s">
        <v>1388</v>
      </c>
      <c r="B27" s="770"/>
      <c r="C27" s="770"/>
      <c r="D27" s="770"/>
      <c r="E27" s="1886"/>
      <c r="F27" s="1886"/>
      <c r="G27" s="1886"/>
      <c r="H27" s="1886"/>
      <c r="I27" s="1886"/>
      <c r="J27" s="1886"/>
      <c r="K27" s="1271"/>
      <c r="L27" s="1271"/>
      <c r="M27" s="1265"/>
      <c r="N27" s="1266"/>
      <c r="O27" s="1266"/>
      <c r="P27" s="1266"/>
      <c r="Q27" s="1266"/>
      <c r="R27" s="1405"/>
      <c r="S27" s="1405"/>
      <c r="T27" s="1405"/>
      <c r="U27" s="1405"/>
    </row>
    <row r="28" spans="1:21" ht="17.45" customHeight="1">
      <c r="A28" s="1885" t="s">
        <v>1423</v>
      </c>
      <c r="B28" s="770"/>
      <c r="C28" s="770"/>
      <c r="D28" s="770"/>
      <c r="E28" s="1886"/>
      <c r="F28" s="1886"/>
      <c r="G28" s="1886"/>
      <c r="H28" s="1886"/>
      <c r="I28" s="1886"/>
      <c r="J28" s="1886"/>
      <c r="K28" s="1271"/>
      <c r="L28" s="1271"/>
      <c r="M28" s="1265"/>
      <c r="N28" s="1266"/>
      <c r="O28" s="1266"/>
      <c r="P28" s="1266"/>
      <c r="Q28" s="1266"/>
      <c r="R28" s="1405"/>
      <c r="S28" s="1405"/>
      <c r="T28" s="1405"/>
      <c r="U28" s="1405"/>
    </row>
    <row r="29" spans="1:21" ht="17.45" customHeight="1">
      <c r="A29" s="1885" t="s">
        <v>1425</v>
      </c>
      <c r="B29" s="770"/>
      <c r="C29" s="770"/>
      <c r="D29" s="770"/>
      <c r="E29" s="1886"/>
      <c r="F29" s="1886"/>
      <c r="G29" s="1886"/>
      <c r="H29" s="1886"/>
      <c r="I29" s="1886"/>
      <c r="J29" s="1886"/>
      <c r="K29" s="1271"/>
      <c r="L29" s="1271"/>
      <c r="M29" s="1265"/>
      <c r="N29" s="1266"/>
      <c r="O29" s="1266"/>
      <c r="P29" s="1266"/>
      <c r="Q29" s="1266"/>
      <c r="R29" s="1405"/>
      <c r="S29" s="1405"/>
      <c r="T29" s="1405"/>
      <c r="U29" s="1405"/>
    </row>
    <row r="30" spans="1:21" ht="17.45" customHeight="1">
      <c r="A30" s="1885" t="s">
        <v>1427</v>
      </c>
      <c r="B30" s="770"/>
      <c r="C30" s="770"/>
      <c r="D30" s="770"/>
      <c r="E30" s="1886"/>
      <c r="F30" s="1886"/>
      <c r="G30" s="1886"/>
      <c r="H30" s="1886"/>
      <c r="I30" s="1886"/>
      <c r="J30" s="1886"/>
      <c r="K30" s="1271"/>
      <c r="L30" s="1271"/>
      <c r="M30" s="1265"/>
      <c r="N30" s="1266"/>
      <c r="O30" s="1266"/>
      <c r="P30" s="1266"/>
      <c r="Q30" s="1266"/>
      <c r="R30" s="1405"/>
      <c r="S30" s="1405"/>
      <c r="T30" s="1405"/>
      <c r="U30" s="1405"/>
    </row>
    <row r="31" spans="1:21" ht="17.45" customHeight="1">
      <c r="A31" s="1885" t="s">
        <v>2451</v>
      </c>
      <c r="B31" s="770"/>
      <c r="C31" s="770"/>
      <c r="D31" s="770"/>
      <c r="E31" s="1886"/>
      <c r="F31" s="1886"/>
      <c r="G31" s="1886"/>
      <c r="H31" s="1886"/>
      <c r="I31" s="1886"/>
      <c r="J31" s="1886"/>
      <c r="K31" s="1271"/>
      <c r="L31" s="1271"/>
      <c r="M31" s="1265"/>
      <c r="N31" s="1266"/>
      <c r="O31" s="1266"/>
      <c r="P31" s="1266"/>
      <c r="Q31" s="1266"/>
      <c r="R31" s="1405"/>
      <c r="S31" s="1405"/>
      <c r="T31" s="1405"/>
      <c r="U31" s="1405"/>
    </row>
    <row r="32" spans="1:21" ht="17.45" customHeight="1">
      <c r="A32" s="1885" t="s">
        <v>2452</v>
      </c>
      <c r="B32" s="770"/>
      <c r="C32" s="770"/>
      <c r="D32" s="770"/>
      <c r="E32" s="1886"/>
      <c r="F32" s="1886"/>
      <c r="G32" s="1886"/>
      <c r="H32" s="1886"/>
      <c r="I32" s="1886"/>
      <c r="J32" s="1886"/>
      <c r="K32" s="1271"/>
      <c r="L32" s="1271"/>
      <c r="M32" s="1265"/>
      <c r="N32" s="1266"/>
      <c r="O32" s="1266"/>
      <c r="P32" s="1266"/>
      <c r="Q32" s="1266"/>
      <c r="R32" s="1405"/>
      <c r="S32" s="1405"/>
      <c r="T32" s="1405"/>
      <c r="U32" s="1405"/>
    </row>
    <row r="33" spans="1:21" ht="17.45" customHeight="1">
      <c r="A33" s="1885" t="s">
        <v>2453</v>
      </c>
      <c r="B33" s="770"/>
      <c r="C33" s="770"/>
      <c r="D33" s="770"/>
      <c r="E33" s="1886"/>
      <c r="F33" s="1886"/>
      <c r="G33" s="1886"/>
      <c r="H33" s="1886"/>
      <c r="I33" s="1886"/>
      <c r="J33" s="1886"/>
      <c r="K33" s="1271"/>
      <c r="L33" s="1271"/>
      <c r="M33" s="1265"/>
      <c r="N33" s="1266"/>
      <c r="O33" s="1266"/>
      <c r="P33" s="1266"/>
      <c r="Q33" s="1266"/>
      <c r="R33" s="1405"/>
      <c r="S33" s="1405"/>
      <c r="T33" s="1405"/>
      <c r="U33" s="1405"/>
    </row>
    <row r="34" spans="1:21">
      <c r="A34" s="769"/>
      <c r="B34" s="769"/>
      <c r="C34" s="769"/>
      <c r="D34" s="769"/>
      <c r="E34" s="1686"/>
      <c r="F34" s="1686"/>
      <c r="G34" s="1686"/>
      <c r="H34" s="1686"/>
      <c r="I34" s="1686"/>
      <c r="J34" s="1686"/>
      <c r="N34" s="1258"/>
      <c r="O34" s="1258"/>
      <c r="P34" s="1258"/>
      <c r="Q34" s="1258"/>
    </row>
  </sheetData>
  <customSheetViews>
    <customSheetView guid="{9C153D9E-615C-443B-9CD7-551163282F03}" scale="124" showPageBreaks="1" printArea="1" view="pageBreakPreview" topLeftCell="AM1">
      <selection activeCell="M15" sqref="M15:O16"/>
      <colBreaks count="2" manualBreakCount="2">
        <brk id="6" max="32" man="1"/>
        <brk id="33" max="32" man="1"/>
      </colBreaks>
      <pageMargins left="0" right="0" top="0" bottom="0" header="0" footer="0"/>
      <pageSetup firstPageNumber="78" orientation="landscape" r:id="rId1"/>
      <headerFooter>
        <oddFooter>&amp;C&amp;P</oddFooter>
      </headerFooter>
    </customSheetView>
    <customSheetView guid="{BE9F68F7-D81B-4526-9959-D871EC50BDFF}" scale="124" showPageBreaks="1" printArea="1" view="pageBreakPreview" topLeftCell="AM1">
      <selection activeCell="M15" sqref="M15:O16"/>
      <colBreaks count="2" manualBreakCount="2">
        <brk id="6" max="32" man="1"/>
        <brk id="33" max="32" man="1"/>
      </colBreaks>
      <pageMargins left="0" right="0" top="0" bottom="0" header="0" footer="0"/>
      <pageSetup firstPageNumber="78" orientation="landscape" r:id="rId2"/>
      <headerFooter>
        <oddFooter>&amp;C&amp;P</oddFooter>
      </headerFooter>
    </customSheetView>
    <customSheetView guid="{EF790C5B-80DA-4544-9EB7-EFE0323B2298}" scale="140" showPageBreaks="1" printArea="1" view="pageBreakPreview" topLeftCell="AG1">
      <selection activeCell="AC5" sqref="AC5:AC16"/>
      <colBreaks count="2" manualBreakCount="2">
        <brk id="6" max="32" man="1"/>
        <brk id="33" max="32" man="1"/>
      </colBreaks>
      <pageMargins left="0" right="0" top="0" bottom="0" header="0" footer="0"/>
      <pageSetup firstPageNumber="78" orientation="landscape" r:id="rId3"/>
      <headerFooter>
        <oddFooter>&amp;C&amp;P</oddFooter>
      </headerFooter>
    </customSheetView>
    <customSheetView guid="{C9D2DBB1-CD01-4732-8C86-64BE16C94753}" showPageBreaks="1" printArea="1" view="pageBreakPreview">
      <colBreaks count="2" manualBreakCount="2">
        <brk id="6" max="32" man="1"/>
        <brk id="33" max="32" man="1"/>
      </colBreaks>
      <pageMargins left="0" right="0" top="0" bottom="0" header="0" footer="0"/>
      <pageSetup firstPageNumber="78" orientation="landscape" r:id="rId4"/>
      <headerFooter>
        <oddFooter>&amp;C&amp;P</oddFooter>
      </headerFooter>
    </customSheetView>
    <customSheetView guid="{BFEC163F-7C4E-49B7-9F32-15225772E72F}" scale="124" showPageBreaks="1" printArea="1" view="pageBreakPreview" topLeftCell="AD12">
      <selection activeCell="AO5" sqref="AO5:AO16"/>
      <colBreaks count="2" manualBreakCount="2">
        <brk id="6" max="32" man="1"/>
        <brk id="33" max="32" man="1"/>
      </colBreaks>
      <pageMargins left="0" right="0" top="0" bottom="0" header="0" footer="0"/>
      <pageSetup firstPageNumber="78" orientation="landscape" r:id="rId5"/>
      <headerFooter>
        <oddFooter>&amp;C&amp;P</oddFooter>
      </headerFooter>
    </customSheetView>
    <customSheetView guid="{5529DB6B-163A-4048-9107-267B30B97DF3}" scale="124" showPageBreaks="1" printArea="1" view="pageBreakPreview" topLeftCell="AD1">
      <selection activeCell="AO5" sqref="AO5:AO16"/>
      <colBreaks count="2" manualBreakCount="2">
        <brk id="6" max="32" man="1"/>
        <brk id="33" max="32" man="1"/>
      </colBreaks>
      <pageMargins left="0" right="0" top="0" bottom="0" header="0" footer="0"/>
      <pageSetup firstPageNumber="78" orientation="landscape" r:id="rId6"/>
      <headerFooter>
        <oddFooter>&amp;C&amp;P</oddFooter>
      </headerFooter>
    </customSheetView>
    <customSheetView guid="{9B0763AA-FA4B-479A-900C-C113E8BEEFEB}" scale="124" showPageBreaks="1" printArea="1" view="pageBreakPreview" topLeftCell="AM1">
      <selection activeCell="M15" sqref="M15:O16"/>
      <colBreaks count="2" manualBreakCount="2">
        <brk id="6" max="32" man="1"/>
        <brk id="33" max="32" man="1"/>
      </colBreaks>
      <pageMargins left="0" right="0" top="0" bottom="0" header="0" footer="0"/>
      <pageSetup firstPageNumber="78" orientation="landscape" r:id="rId7"/>
      <headerFooter>
        <oddFooter>&amp;C&amp;P</oddFooter>
      </headerFooter>
    </customSheetView>
    <customSheetView guid="{89903799-8228-4A6D-8A81-7F80BC61226D}" scale="140" showPageBreaks="1" printArea="1" view="pageBreakPreview" topLeftCell="AG1">
      <selection activeCell="AC5" sqref="AC5:AC16"/>
      <colBreaks count="2" manualBreakCount="2">
        <brk id="6" max="32" man="1"/>
        <brk id="33" max="32" man="1"/>
      </colBreaks>
      <pageMargins left="0" right="0" top="0" bottom="0" header="0" footer="0"/>
      <pageSetup firstPageNumber="78" orientation="landscape" r:id="rId8"/>
      <headerFooter>
        <oddFooter>&amp;C&amp;P</oddFooter>
      </headerFooter>
    </customSheetView>
    <customSheetView guid="{2524630E-605A-4616-AD5D-6CF7B1E9752C}" scale="140" showPageBreaks="1" printArea="1" view="pageBreakPreview" topLeftCell="AF1">
      <selection activeCell="AH5" sqref="AH5:AH16"/>
      <colBreaks count="2" manualBreakCount="2">
        <brk id="6" max="32" man="1"/>
        <brk id="33" max="32" man="1"/>
      </colBreaks>
      <pageMargins left="0" right="0" top="0" bottom="0" header="0" footer="0"/>
      <pageSetup firstPageNumber="78" orientation="landscape" r:id="rId9"/>
      <headerFooter>
        <oddFooter>&amp;C&amp;P</oddFooter>
      </headerFooter>
    </customSheetView>
  </customSheetViews>
  <mergeCells count="23">
    <mergeCell ref="K4:L4"/>
    <mergeCell ref="R4:U4"/>
    <mergeCell ref="K5:L15"/>
    <mergeCell ref="M5:M16"/>
    <mergeCell ref="N5:N17"/>
    <mergeCell ref="O5:O16"/>
    <mergeCell ref="P5:P17"/>
    <mergeCell ref="Q5:Q13"/>
    <mergeCell ref="R8:U10"/>
    <mergeCell ref="R14:S14"/>
    <mergeCell ref="R15:U16"/>
    <mergeCell ref="R5:U6"/>
    <mergeCell ref="R11:U13"/>
    <mergeCell ref="F5:F17"/>
    <mergeCell ref="E5:E17"/>
    <mergeCell ref="H5:H17"/>
    <mergeCell ref="J5:J17"/>
    <mergeCell ref="A4:A18"/>
    <mergeCell ref="C5:C10"/>
    <mergeCell ref="D5:D10"/>
    <mergeCell ref="G5:G17"/>
    <mergeCell ref="B8:B17"/>
    <mergeCell ref="I5:I17"/>
  </mergeCells>
  <pageMargins left="0.314" right="0.314" top="0.11799999999999999" bottom="0.27500000000000002" header="0.157" footer="0.11799999999999999"/>
  <pageSetup scale="91" firstPageNumber="78" orientation="landscape" r:id="rId10"/>
  <headerFooter>
    <oddFooter>&amp;C&amp;P</oddFooter>
  </headerFooter>
  <colBreaks count="1" manualBreakCount="1">
    <brk id="8" max="32" man="1"/>
  </colBreaks>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100-000000000000}">
  <sheetPr>
    <tabColor rgb="FFC00000"/>
  </sheetPr>
  <dimension ref="A1:AH34"/>
  <sheetViews>
    <sheetView view="pageBreakPreview" zoomScale="120" zoomScaleNormal="120" zoomScaleSheetLayoutView="120" workbookViewId="0">
      <selection activeCell="M14" sqref="M14"/>
    </sheetView>
  </sheetViews>
  <sheetFormatPr defaultColWidth="8.85546875" defaultRowHeight="12.75"/>
  <cols>
    <col min="1" max="1" width="4.140625" style="1193" customWidth="1"/>
    <col min="2" max="2" width="32.140625" style="1193" customWidth="1"/>
    <col min="3" max="3" width="6.42578125" style="892" customWidth="1"/>
    <col min="4" max="4" width="7.140625" style="1268" bestFit="1" customWidth="1"/>
    <col min="5" max="5" width="7.28515625" style="892" customWidth="1"/>
    <col min="6" max="6" width="6.140625" style="892" customWidth="1"/>
    <col min="7" max="7" width="7.7109375" style="892" customWidth="1"/>
    <col min="8" max="8" width="6.42578125" style="892" bestFit="1" customWidth="1"/>
    <col min="9" max="9" width="6.7109375" style="892" customWidth="1"/>
    <col min="10" max="10" width="12.42578125" style="1267" customWidth="1"/>
    <col min="11" max="11" width="8.28515625" style="1193" customWidth="1"/>
    <col min="12" max="12" width="6.28515625" style="1193" customWidth="1"/>
    <col min="13" max="13" width="8.140625" style="1193" customWidth="1"/>
    <col min="14" max="14" width="7.7109375" style="1193" customWidth="1"/>
    <col min="15" max="15" width="10.140625" style="1193" customWidth="1"/>
    <col min="16" max="16" width="8.140625" style="1190" bestFit="1" customWidth="1"/>
    <col min="17" max="17" width="14.42578125" style="1190" customWidth="1"/>
    <col min="18" max="18" width="13.85546875" style="1190" customWidth="1"/>
    <col min="19" max="19" width="12.140625" style="1190" customWidth="1"/>
    <col min="20" max="20" width="12" style="1190" customWidth="1"/>
    <col min="21" max="21" width="12.7109375" style="1190" customWidth="1"/>
    <col min="22" max="22" width="6.85546875" style="1190" customWidth="1"/>
    <col min="23" max="23" width="6.7109375" style="1190" customWidth="1"/>
    <col min="24" max="24" width="10.140625" style="1190" customWidth="1"/>
    <col min="25" max="25" width="26.85546875" style="1190" customWidth="1"/>
    <col min="26" max="26" width="11.7109375" style="1190" customWidth="1"/>
    <col min="27" max="27" width="22" style="1190" customWidth="1"/>
    <col min="28" max="28" width="8.28515625" style="1190" customWidth="1"/>
    <col min="29" max="29" width="5.140625" style="1190" bestFit="1" customWidth="1"/>
    <col min="30" max="30" width="6.85546875" style="1190" customWidth="1"/>
    <col min="31" max="31" width="11.42578125" style="1193" customWidth="1"/>
    <col min="32" max="32" width="10.42578125" style="1190" bestFit="1" customWidth="1"/>
    <col min="33" max="33" width="12.7109375" style="1190" customWidth="1"/>
    <col min="34" max="34" width="14.28515625" style="1190" customWidth="1"/>
    <col min="35" max="16384" width="8.85546875" style="1193"/>
  </cols>
  <sheetData>
    <row r="1" spans="1:34" ht="12.95" customHeight="1">
      <c r="A1" s="1281"/>
      <c r="B1" s="2949" t="str">
        <f>CONCATENATE("Lista das culturas nos campos e parcelas explorados pelo agregado familiar ",[2]Variables!C4)</f>
        <v>Lista das culturas nos campos e parcelas explorados pelo agregado familiar 2021/2022</v>
      </c>
      <c r="E1" s="1280"/>
      <c r="O1" s="1280" t="s">
        <v>2303</v>
      </c>
      <c r="P1" s="1279"/>
      <c r="R1" s="1280" t="s">
        <v>2303</v>
      </c>
      <c r="Y1" s="1280" t="s">
        <v>2303</v>
      </c>
      <c r="AA1" s="1280"/>
      <c r="AE1" s="1279"/>
    </row>
    <row r="2" spans="1:34">
      <c r="A2" s="1281"/>
      <c r="B2" s="2949"/>
      <c r="E2" s="1280"/>
      <c r="J2" s="1282"/>
      <c r="K2" s="1281"/>
      <c r="L2" s="1281"/>
      <c r="M2" s="1281"/>
      <c r="N2" s="1281"/>
      <c r="O2" s="1280" t="s">
        <v>2531</v>
      </c>
      <c r="P2" s="1279"/>
      <c r="R2" s="1280" t="s">
        <v>2531</v>
      </c>
      <c r="Y2" s="1280" t="s">
        <v>2531</v>
      </c>
      <c r="AA2" s="1280"/>
      <c r="AE2" s="1279"/>
    </row>
    <row r="3" spans="1:34" ht="13.5">
      <c r="B3" s="2950"/>
      <c r="D3" s="892"/>
      <c r="E3" s="906"/>
      <c r="F3" s="906"/>
      <c r="G3" s="906"/>
      <c r="H3" s="906"/>
      <c r="I3" s="906"/>
    </row>
    <row r="4" spans="1:34" ht="13.5" customHeight="1">
      <c r="A4" s="2934" t="s">
        <v>2498</v>
      </c>
      <c r="B4" s="1261" t="str">
        <f>CONCATENATE("(16D.",TEXT(B34,"00"),")")</f>
        <v>(16D.00)</v>
      </c>
      <c r="C4" s="1261" t="str">
        <f>CONCATENATE("(16D.",TEXT(C34,"00"),")")</f>
        <v>(16D.01)</v>
      </c>
      <c r="D4" s="2937" t="str">
        <f>CONCATENATE("(16D.",TEXT(D34,"00"),")")</f>
        <v>(16D.02)</v>
      </c>
      <c r="E4" s="2938"/>
      <c r="F4" s="2939"/>
      <c r="G4" s="1261" t="str">
        <f>CONCATENATE("(16D.",TEXT(G34,"00"),")")</f>
        <v>(16D.03)</v>
      </c>
      <c r="H4" s="1278"/>
      <c r="I4" s="1278"/>
      <c r="J4" s="1261" t="str">
        <f>CONCATENATE("(16D.",TEXT(J34,"00"),")")</f>
        <v>(16D.04)</v>
      </c>
      <c r="K4" s="1261" t="str">
        <f>CONCATENATE("(16D.",TEXT(K34,"00"),")")</f>
        <v>(16D.05)</v>
      </c>
      <c r="L4" s="1278"/>
      <c r="M4" s="1278"/>
      <c r="N4" s="1278"/>
      <c r="O4" s="1261" t="str">
        <f t="shared" ref="O4:V4" si="0">CONCATENATE("(16D.",TEXT(O34,"00"),")")</f>
        <v>(16D.06)</v>
      </c>
      <c r="P4" s="1261" t="str">
        <f t="shared" si="0"/>
        <v>(16D.07)</v>
      </c>
      <c r="Q4" s="1261" t="str">
        <f t="shared" si="0"/>
        <v>(16D.08)</v>
      </c>
      <c r="R4" s="1261" t="str">
        <f t="shared" si="0"/>
        <v>(16D.09)</v>
      </c>
      <c r="S4" s="1261" t="str">
        <f t="shared" si="0"/>
        <v>(16D.10)</v>
      </c>
      <c r="T4" s="1261" t="str">
        <f t="shared" si="0"/>
        <v>(16D.11)</v>
      </c>
      <c r="U4" s="1261" t="str">
        <f t="shared" si="0"/>
        <v>(16D.12)</v>
      </c>
      <c r="V4" s="1261" t="str">
        <f t="shared" si="0"/>
        <v>(16D.13)</v>
      </c>
      <c r="W4" s="1278"/>
      <c r="X4" s="1278"/>
      <c r="Y4" s="1261" t="str">
        <f>CONCATENATE("(16D.",TEXT(Y34,"00"),")")</f>
        <v>(16D.14)</v>
      </c>
      <c r="Z4" s="1261" t="str">
        <f>CONCATENATE("(16D.",TEXT(Z34,"00"),")")</f>
        <v>(16D.15)</v>
      </c>
      <c r="AA4" s="1261" t="str">
        <f>CONCATENATE("(16D.",TEXT(AA34,"00"),")")</f>
        <v>(16D.16)</v>
      </c>
      <c r="AB4" s="1261" t="str">
        <f>CONCATENATE("(16D.",TEXT(AB34,"00"),")")</f>
        <v>(16D.17)</v>
      </c>
      <c r="AC4" s="1460"/>
      <c r="AD4" s="1461"/>
      <c r="AE4" s="1261" t="str">
        <f>CONCATENATE("(16D.",TEXT(AE34,"00"),")")</f>
        <v>(16D.18)</v>
      </c>
      <c r="AF4" s="1261" t="str">
        <f>CONCATENATE("(16D.",TEXT(AF34,"00"),")")</f>
        <v>(16D.19)</v>
      </c>
      <c r="AG4" s="1261" t="str">
        <f>CONCATENATE("(16D.",TEXT(AG34,"00"),")")</f>
        <v>(16D.20)</v>
      </c>
      <c r="AH4" s="1278"/>
    </row>
    <row r="5" spans="1:34" ht="12.75" customHeight="1">
      <c r="A5" s="2935"/>
      <c r="B5" s="1462"/>
      <c r="C5" s="2951" t="s">
        <v>2510</v>
      </c>
      <c r="D5" s="2915" t="s">
        <v>2532</v>
      </c>
      <c r="E5" s="2916"/>
      <c r="F5" s="2917"/>
      <c r="G5" s="2915" t="s">
        <v>2533</v>
      </c>
      <c r="H5" s="2916"/>
      <c r="I5" s="2917"/>
      <c r="J5" s="2913" t="str">
        <f>CONCATENATE("Foi vendida alguma parte da produção? 
1=Sim 
2=Não ►",U4,)</f>
        <v>Foi vendida alguma parte da produção? 
1=Sim 
2=Não ►(16D.12)</v>
      </c>
      <c r="K5" s="2941" t="s">
        <v>2534</v>
      </c>
      <c r="L5" s="2942"/>
      <c r="M5" s="2942"/>
      <c r="N5" s="2943"/>
      <c r="O5" s="2913" t="s">
        <v>2535</v>
      </c>
      <c r="P5" s="2913" t="s">
        <v>2536</v>
      </c>
      <c r="Q5" s="2940" t="s">
        <v>2537</v>
      </c>
      <c r="R5" s="2913" t="str">
        <f>CONCATENATE("Você vendeu algum resto da produção de [CULTURA]?
1 = Sim
2 = Não  ►",T4)</f>
        <v>Você vendeu algum resto da produção de [CULTURA]?
1 = Sim
2 = Não  ►(16D.11)</v>
      </c>
      <c r="S5" s="2913" t="s">
        <v>2538</v>
      </c>
      <c r="T5" s="2913" t="s">
        <v>2539</v>
      </c>
      <c r="U5" s="2913" t="str">
        <f>CONCATENATE("Parte da produção desta campanha está em estoque?
1=Sim 
2=Não ►",AF4,)</f>
        <v>Parte da produção desta campanha está em estoque?
1=Sim 
2=Não ►(16D.19)</v>
      </c>
      <c r="V5" s="2915" t="s">
        <v>2540</v>
      </c>
      <c r="W5" s="2916"/>
      <c r="X5" s="2917"/>
      <c r="Y5" s="2913" t="str">
        <f>CONCATENATE("Com que finalidade principal armazena [Nome da cultura]?
1=Consumo próprio
2=Venda a preços mais altos ►",AB4,"
3= Venda para outras necessidades ►",AB4,"
4=Sementes
5=OutrosAutre (a precisar)")</f>
        <v>Com que finalidade principal armazena [Nome da cultura]?
1=Consumo próprio
2=Venda a preços mais altos ►(16D.17)
3= Venda para outras necessidades ►(16D.17)
4=Sementes
5=OutrosAutre (a precisar)</v>
      </c>
      <c r="Z5" s="2913" t="str">
        <f>CONCATENATE("Para a produção ainda armazenada, prevê vender mais tarde alguma parte da mesma?
1=Sim ►",AB4,
"
2=Não")</f>
        <v>Para a produção ainda armazenada, prevê vender mais tarde alguma parte da mesma?
1=Sim ►(16D.17)
2=Não</v>
      </c>
      <c r="AA5" s="2913" t="str">
        <f>CONCATENATE("Qual a razão principal para não prever vender pelo menos uma parte da produção?  
1=Insuficiente para o agregado familiar
2=Preços baixos
3= Sementes 
4=Falta de clientes
5=Ausência de estrada/mercado
6=Outra (especificar)
►►",AF4)</f>
        <v>Qual a razão principal para não prever vender pelo menos uma parte da produção?  
1=Insuficiente para o agregado familiar
2=Preços baixos
3= Sementes 
4=Falta de clientes
5=Ausência de estrada/mercado
6=Outra (especificar)
►►(16D.19)</v>
      </c>
      <c r="AB5" s="2915" t="s">
        <v>2541</v>
      </c>
      <c r="AC5" s="2916"/>
      <c r="AD5" s="2917"/>
      <c r="AE5" s="2913" t="str">
        <f>CONCATENATE("A que preço unitário prevê vender segundo a unidade indicada em ",AB4,"?")</f>
        <v>A que preço unitário prevê vender segundo a unidade indicada em (16D.17)?</v>
      </c>
      <c r="AF5" s="2913" t="s">
        <v>2542</v>
      </c>
      <c r="AG5" s="2915" t="s">
        <v>2543</v>
      </c>
      <c r="AH5" s="2924"/>
    </row>
    <row r="6" spans="1:34" ht="31.5" customHeight="1">
      <c r="A6" s="2935"/>
      <c r="B6" s="1277" t="s">
        <v>188</v>
      </c>
      <c r="C6" s="2952"/>
      <c r="D6" s="2918"/>
      <c r="E6" s="2919"/>
      <c r="F6" s="2920"/>
      <c r="G6" s="2918"/>
      <c r="H6" s="2919"/>
      <c r="I6" s="2920"/>
      <c r="J6" s="2814"/>
      <c r="K6" s="2944"/>
      <c r="L6" s="2945"/>
      <c r="M6" s="2945"/>
      <c r="N6" s="2946"/>
      <c r="O6" s="2814"/>
      <c r="P6" s="2932"/>
      <c r="Q6" s="2940"/>
      <c r="R6" s="2814"/>
      <c r="S6" s="2814"/>
      <c r="T6" s="2814"/>
      <c r="U6" s="2814"/>
      <c r="V6" s="2918"/>
      <c r="W6" s="2919"/>
      <c r="X6" s="2920"/>
      <c r="Y6" s="2814"/>
      <c r="Z6" s="2814"/>
      <c r="AA6" s="2814"/>
      <c r="AB6" s="2918"/>
      <c r="AC6" s="2919"/>
      <c r="AD6" s="2920"/>
      <c r="AE6" s="2814"/>
      <c r="AF6" s="2814"/>
      <c r="AG6" s="2925"/>
      <c r="AH6" s="2926"/>
    </row>
    <row r="7" spans="1:34" ht="18.75" customHeight="1">
      <c r="A7" s="2935"/>
      <c r="B7" s="1463"/>
      <c r="C7" s="2952"/>
      <c r="D7" s="2918"/>
      <c r="E7" s="2919"/>
      <c r="F7" s="2920"/>
      <c r="G7" s="2918"/>
      <c r="H7" s="2919"/>
      <c r="I7" s="2920"/>
      <c r="J7" s="2814"/>
      <c r="K7" s="2947" t="s">
        <v>2522</v>
      </c>
      <c r="L7" s="2948"/>
      <c r="M7" s="2948"/>
      <c r="N7" s="2948"/>
      <c r="O7" s="2814"/>
      <c r="P7" s="2932"/>
      <c r="Q7" s="2940"/>
      <c r="R7" s="2814"/>
      <c r="S7" s="2814"/>
      <c r="T7" s="2814"/>
      <c r="U7" s="2814"/>
      <c r="V7" s="2918"/>
      <c r="W7" s="2919"/>
      <c r="X7" s="2920"/>
      <c r="Y7" s="2814"/>
      <c r="Z7" s="2814"/>
      <c r="AA7" s="2814"/>
      <c r="AB7" s="2918"/>
      <c r="AC7" s="2919"/>
      <c r="AD7" s="2920"/>
      <c r="AE7" s="2814"/>
      <c r="AF7" s="2814"/>
      <c r="AG7" s="2925"/>
      <c r="AH7" s="2926"/>
    </row>
    <row r="8" spans="1:34" ht="60.75" customHeight="1">
      <c r="A8" s="2935"/>
      <c r="B8" s="2929" t="s">
        <v>2544</v>
      </c>
      <c r="C8" s="2952"/>
      <c r="D8" s="2918"/>
      <c r="E8" s="2919"/>
      <c r="F8" s="2920"/>
      <c r="G8" s="2918"/>
      <c r="H8" s="2919"/>
      <c r="I8" s="2920"/>
      <c r="J8" s="2814"/>
      <c r="K8" s="2947"/>
      <c r="L8" s="2948"/>
      <c r="M8" s="2948"/>
      <c r="N8" s="2948"/>
      <c r="O8" s="2814"/>
      <c r="P8" s="2932"/>
      <c r="Q8" s="2940"/>
      <c r="R8" s="2814"/>
      <c r="S8" s="2814"/>
      <c r="T8" s="2814"/>
      <c r="U8" s="2814"/>
      <c r="V8" s="2918"/>
      <c r="W8" s="2919"/>
      <c r="X8" s="2920"/>
      <c r="Y8" s="2814"/>
      <c r="Z8" s="2814"/>
      <c r="AA8" s="2814"/>
      <c r="AB8" s="2918"/>
      <c r="AC8" s="2919"/>
      <c r="AD8" s="2920"/>
      <c r="AE8" s="2814"/>
      <c r="AF8" s="2814"/>
      <c r="AG8" s="2925"/>
      <c r="AH8" s="2926"/>
    </row>
    <row r="9" spans="1:34" ht="30.75" customHeight="1">
      <c r="A9" s="2935"/>
      <c r="B9" s="2930"/>
      <c r="C9" s="2952"/>
      <c r="D9" s="2918"/>
      <c r="E9" s="2919"/>
      <c r="F9" s="2920"/>
      <c r="G9" s="2918"/>
      <c r="H9" s="2919"/>
      <c r="I9" s="2920"/>
      <c r="J9" s="2814"/>
      <c r="K9" s="2947"/>
      <c r="L9" s="2948"/>
      <c r="M9" s="2948"/>
      <c r="N9" s="2948"/>
      <c r="O9" s="2814"/>
      <c r="P9" s="2932"/>
      <c r="Q9" s="2940"/>
      <c r="R9" s="2814"/>
      <c r="S9" s="2814"/>
      <c r="T9" s="2814"/>
      <c r="U9" s="2814"/>
      <c r="V9" s="2918"/>
      <c r="W9" s="2919"/>
      <c r="X9" s="2920"/>
      <c r="Y9" s="2814"/>
      <c r="Z9" s="2814"/>
      <c r="AA9" s="2814"/>
      <c r="AB9" s="2918"/>
      <c r="AC9" s="2919"/>
      <c r="AD9" s="2920"/>
      <c r="AE9" s="2814"/>
      <c r="AF9" s="2814"/>
      <c r="AG9" s="2925"/>
      <c r="AH9" s="2926"/>
    </row>
    <row r="10" spans="1:34" ht="12.75" customHeight="1">
      <c r="A10" s="2935"/>
      <c r="B10" s="2930"/>
      <c r="C10" s="2952"/>
      <c r="D10" s="2918" t="s">
        <v>2519</v>
      </c>
      <c r="E10" s="2919"/>
      <c r="F10" s="1464"/>
      <c r="G10" s="2918" t="s">
        <v>2519</v>
      </c>
      <c r="H10" s="2919"/>
      <c r="I10" s="1464"/>
      <c r="J10" s="2814"/>
      <c r="K10" s="2918" t="s">
        <v>2519</v>
      </c>
      <c r="L10" s="2919"/>
      <c r="M10" s="1465"/>
      <c r="N10" s="1464"/>
      <c r="O10" s="2814"/>
      <c r="P10" s="2932"/>
      <c r="Q10" s="2940"/>
      <c r="R10" s="2814"/>
      <c r="S10" s="2814"/>
      <c r="T10" s="2814"/>
      <c r="U10" s="2814"/>
      <c r="V10" s="2918" t="s">
        <v>2519</v>
      </c>
      <c r="W10" s="2919"/>
      <c r="X10" s="1464"/>
      <c r="Y10" s="2814"/>
      <c r="Z10" s="2814"/>
      <c r="AA10" s="2814"/>
      <c r="AB10" s="2918" t="s">
        <v>2519</v>
      </c>
      <c r="AC10" s="2919"/>
      <c r="AD10" s="1464"/>
      <c r="AE10" s="2814"/>
      <c r="AF10" s="2814"/>
      <c r="AG10" s="2925"/>
      <c r="AH10" s="2926"/>
    </row>
    <row r="11" spans="1:34" ht="12.75" customHeight="1">
      <c r="A11" s="2935"/>
      <c r="B11" s="2930"/>
      <c r="C11" s="2952"/>
      <c r="D11" s="2918" t="s">
        <v>2545</v>
      </c>
      <c r="E11" s="2919"/>
      <c r="F11" s="2920"/>
      <c r="G11" s="2918" t="s">
        <v>2545</v>
      </c>
      <c r="H11" s="2919"/>
      <c r="I11" s="2920"/>
      <c r="J11" s="2814"/>
      <c r="K11" s="2918" t="s">
        <v>2545</v>
      </c>
      <c r="L11" s="2919"/>
      <c r="M11" s="2919"/>
      <c r="N11" s="2920"/>
      <c r="O11" s="2814"/>
      <c r="P11" s="2932"/>
      <c r="Q11" s="2940"/>
      <c r="R11" s="2814"/>
      <c r="S11" s="2814"/>
      <c r="T11" s="2814"/>
      <c r="U11" s="2814"/>
      <c r="V11" s="2918" t="s">
        <v>2545</v>
      </c>
      <c r="W11" s="2919"/>
      <c r="X11" s="2920"/>
      <c r="Y11" s="2814"/>
      <c r="Z11" s="2814"/>
      <c r="AA11" s="2814"/>
      <c r="AB11" s="2918" t="s">
        <v>2545</v>
      </c>
      <c r="AC11" s="2919"/>
      <c r="AD11" s="2920"/>
      <c r="AE11" s="2814"/>
      <c r="AF11" s="2814"/>
      <c r="AG11" s="2925"/>
      <c r="AH11" s="2926"/>
    </row>
    <row r="12" spans="1:34" ht="12.75" customHeight="1">
      <c r="A12" s="2935"/>
      <c r="B12" s="2930"/>
      <c r="C12" s="2952"/>
      <c r="D12" s="2918"/>
      <c r="E12" s="2919"/>
      <c r="F12" s="2920"/>
      <c r="G12" s="2918"/>
      <c r="H12" s="2919"/>
      <c r="I12" s="2920"/>
      <c r="J12" s="2814"/>
      <c r="K12" s="2918"/>
      <c r="L12" s="2919"/>
      <c r="M12" s="2919"/>
      <c r="N12" s="2920"/>
      <c r="O12" s="2814"/>
      <c r="P12" s="2932"/>
      <c r="Q12" s="2940"/>
      <c r="R12" s="2814"/>
      <c r="S12" s="2814"/>
      <c r="T12" s="2814"/>
      <c r="U12" s="2814"/>
      <c r="V12" s="2918"/>
      <c r="W12" s="2919"/>
      <c r="X12" s="2920"/>
      <c r="Y12" s="2814"/>
      <c r="Z12" s="2814"/>
      <c r="AA12" s="2814"/>
      <c r="AB12" s="2918"/>
      <c r="AC12" s="2919"/>
      <c r="AD12" s="2920"/>
      <c r="AE12" s="2814"/>
      <c r="AF12" s="2814"/>
      <c r="AG12" s="2925"/>
      <c r="AH12" s="2926"/>
    </row>
    <row r="13" spans="1:34" ht="19.5" customHeight="1">
      <c r="A13" s="2935"/>
      <c r="B13" s="2930"/>
      <c r="C13" s="2952"/>
      <c r="D13" s="2918"/>
      <c r="E13" s="2919"/>
      <c r="F13" s="2920"/>
      <c r="G13" s="2918"/>
      <c r="H13" s="2919"/>
      <c r="I13" s="2920"/>
      <c r="J13" s="2814"/>
      <c r="K13" s="2918"/>
      <c r="L13" s="2919"/>
      <c r="M13" s="2919"/>
      <c r="N13" s="2920"/>
      <c r="O13" s="2814"/>
      <c r="P13" s="2932"/>
      <c r="Q13" s="2940"/>
      <c r="R13" s="2814"/>
      <c r="S13" s="2814"/>
      <c r="T13" s="2814"/>
      <c r="U13" s="2814"/>
      <c r="V13" s="2918" t="s">
        <v>2523</v>
      </c>
      <c r="W13" s="2919"/>
      <c r="X13" s="1464"/>
      <c r="Y13" s="2814"/>
      <c r="Z13" s="2814"/>
      <c r="AA13" s="2814"/>
      <c r="AB13" s="2918"/>
      <c r="AC13" s="2919"/>
      <c r="AD13" s="2920"/>
      <c r="AE13" s="2814"/>
      <c r="AF13" s="2814"/>
      <c r="AG13" s="2925"/>
      <c r="AH13" s="2926"/>
    </row>
    <row r="14" spans="1:34" ht="13.5">
      <c r="A14" s="2935"/>
      <c r="B14" s="2930"/>
      <c r="C14" s="2952"/>
      <c r="D14" s="2918" t="s">
        <v>2523</v>
      </c>
      <c r="E14" s="2919"/>
      <c r="F14" s="1464"/>
      <c r="G14" s="2918" t="s">
        <v>2523</v>
      </c>
      <c r="H14" s="2919"/>
      <c r="I14" s="1464"/>
      <c r="J14" s="2814"/>
      <c r="K14" s="2918" t="s">
        <v>2523</v>
      </c>
      <c r="L14" s="2919"/>
      <c r="M14" s="1465"/>
      <c r="N14" s="1464"/>
      <c r="O14" s="2814"/>
      <c r="P14" s="2932"/>
      <c r="Q14" s="2940"/>
      <c r="R14" s="2814"/>
      <c r="S14" s="2814"/>
      <c r="T14" s="2814"/>
      <c r="U14" s="2814"/>
      <c r="V14" s="2918" t="s">
        <v>2546</v>
      </c>
      <c r="W14" s="2919"/>
      <c r="X14" s="2920"/>
      <c r="Y14" s="2814"/>
      <c r="Z14" s="2814"/>
      <c r="AA14" s="2814"/>
      <c r="AB14" s="2918" t="s">
        <v>2523</v>
      </c>
      <c r="AC14" s="2919"/>
      <c r="AD14" s="1464"/>
      <c r="AE14" s="2814"/>
      <c r="AF14" s="2814"/>
      <c r="AG14" s="2925"/>
      <c r="AH14" s="2926"/>
    </row>
    <row r="15" spans="1:34" ht="12.95" customHeight="1">
      <c r="A15" s="2935"/>
      <c r="B15" s="2930"/>
      <c r="C15" s="2952"/>
      <c r="D15" s="2918" t="s">
        <v>2546</v>
      </c>
      <c r="E15" s="2919"/>
      <c r="F15" s="2920"/>
      <c r="G15" s="2918" t="s">
        <v>2546</v>
      </c>
      <c r="H15" s="2919"/>
      <c r="I15" s="2920"/>
      <c r="J15" s="2814"/>
      <c r="K15" s="2918" t="s">
        <v>2546</v>
      </c>
      <c r="L15" s="2919"/>
      <c r="M15" s="2919"/>
      <c r="N15" s="2920"/>
      <c r="O15" s="2814"/>
      <c r="P15" s="2932"/>
      <c r="Q15" s="2940"/>
      <c r="R15" s="2814"/>
      <c r="S15" s="2814"/>
      <c r="T15" s="2814"/>
      <c r="U15" s="2814"/>
      <c r="V15" s="2921"/>
      <c r="W15" s="2922"/>
      <c r="X15" s="2923"/>
      <c r="Y15" s="2814"/>
      <c r="Z15" s="2814"/>
      <c r="AA15" s="2814"/>
      <c r="AB15" s="2918" t="s">
        <v>2546</v>
      </c>
      <c r="AC15" s="2919"/>
      <c r="AD15" s="2920"/>
      <c r="AE15" s="2814"/>
      <c r="AF15" s="2814"/>
      <c r="AG15" s="2925"/>
      <c r="AH15" s="2926"/>
    </row>
    <row r="16" spans="1:34" ht="33.75" customHeight="1">
      <c r="A16" s="2935"/>
      <c r="B16" s="2930"/>
      <c r="C16" s="2952"/>
      <c r="D16" s="2921"/>
      <c r="E16" s="2922"/>
      <c r="F16" s="2923"/>
      <c r="G16" s="2921"/>
      <c r="H16" s="2922"/>
      <c r="I16" s="2923"/>
      <c r="J16" s="2914"/>
      <c r="K16" s="2921"/>
      <c r="L16" s="2922"/>
      <c r="M16" s="2922"/>
      <c r="N16" s="2923"/>
      <c r="O16" s="2914"/>
      <c r="P16" s="2933"/>
      <c r="Q16" s="2940"/>
      <c r="R16" s="2914"/>
      <c r="S16" s="2914"/>
      <c r="T16" s="2914"/>
      <c r="U16" s="2914"/>
      <c r="V16" s="1466"/>
      <c r="W16" s="1467"/>
      <c r="X16" s="1468"/>
      <c r="Y16" s="2914"/>
      <c r="Z16" s="2914"/>
      <c r="AA16" s="2914"/>
      <c r="AB16" s="2921"/>
      <c r="AC16" s="2922"/>
      <c r="AD16" s="2923"/>
      <c r="AE16" s="2914"/>
      <c r="AF16" s="2914"/>
      <c r="AG16" s="2927"/>
      <c r="AH16" s="2928"/>
    </row>
    <row r="17" spans="1:34" ht="66.75" customHeight="1">
      <c r="A17" s="2935"/>
      <c r="B17" s="2931"/>
      <c r="C17" s="2953"/>
      <c r="D17" s="1275" t="s">
        <v>2547</v>
      </c>
      <c r="E17" s="1275" t="s">
        <v>2526</v>
      </c>
      <c r="F17" s="1275" t="s">
        <v>2528</v>
      </c>
      <c r="G17" s="1275" t="s">
        <v>2547</v>
      </c>
      <c r="H17" s="1275" t="s">
        <v>2526</v>
      </c>
      <c r="I17" s="1275" t="s">
        <v>2528</v>
      </c>
      <c r="J17" s="1275"/>
      <c r="K17" s="1275" t="s">
        <v>2547</v>
      </c>
      <c r="L17" s="1275" t="s">
        <v>2548</v>
      </c>
      <c r="M17" s="1275" t="s">
        <v>2527</v>
      </c>
      <c r="N17" s="1275" t="s">
        <v>2528</v>
      </c>
      <c r="O17" s="1469"/>
      <c r="P17" s="1275"/>
      <c r="Q17" s="1275"/>
      <c r="R17" s="1275"/>
      <c r="S17" s="1275" t="s">
        <v>2549</v>
      </c>
      <c r="T17" s="1275"/>
      <c r="U17" s="1275"/>
      <c r="V17" s="1275" t="s">
        <v>2547</v>
      </c>
      <c r="W17" s="1275" t="s">
        <v>2526</v>
      </c>
      <c r="X17" s="1275" t="s">
        <v>2528</v>
      </c>
      <c r="Y17" s="1275"/>
      <c r="Z17" s="1275"/>
      <c r="AA17" s="1275"/>
      <c r="AB17" s="1275" t="s">
        <v>2547</v>
      </c>
      <c r="AC17" s="1275" t="s">
        <v>2526</v>
      </c>
      <c r="AD17" s="1275" t="s">
        <v>2528</v>
      </c>
      <c r="AE17" s="1275" t="s">
        <v>2549</v>
      </c>
      <c r="AF17" s="1470"/>
      <c r="AG17" s="1275" t="s">
        <v>2550</v>
      </c>
      <c r="AH17" s="1275" t="s">
        <v>2551</v>
      </c>
    </row>
    <row r="18" spans="1:34" ht="27">
      <c r="A18" s="2936"/>
      <c r="B18" s="1276" t="s">
        <v>2552</v>
      </c>
      <c r="C18" s="1263" t="s">
        <v>420</v>
      </c>
      <c r="D18" s="1275" t="s">
        <v>426</v>
      </c>
      <c r="E18" s="1275" t="s">
        <v>420</v>
      </c>
      <c r="F18" s="1275" t="s">
        <v>420</v>
      </c>
      <c r="G18" s="1275" t="s">
        <v>426</v>
      </c>
      <c r="H18" s="1275"/>
      <c r="I18" s="1275" t="s">
        <v>420</v>
      </c>
      <c r="J18" s="1275" t="s">
        <v>420</v>
      </c>
      <c r="K18" s="1275" t="s">
        <v>426</v>
      </c>
      <c r="L18" s="1275" t="s">
        <v>420</v>
      </c>
      <c r="M18" s="1275" t="s">
        <v>426</v>
      </c>
      <c r="N18" s="1275" t="s">
        <v>420</v>
      </c>
      <c r="O18" s="1275" t="s">
        <v>1054</v>
      </c>
      <c r="P18" s="1275" t="s">
        <v>2553</v>
      </c>
      <c r="Q18" s="1275" t="s">
        <v>420</v>
      </c>
      <c r="R18" s="1275" t="s">
        <v>420</v>
      </c>
      <c r="S18" s="1275" t="s">
        <v>1054</v>
      </c>
      <c r="T18" s="1275" t="s">
        <v>420</v>
      </c>
      <c r="U18" s="1275" t="s">
        <v>420</v>
      </c>
      <c r="V18" s="1275" t="s">
        <v>426</v>
      </c>
      <c r="W18" s="1275" t="s">
        <v>420</v>
      </c>
      <c r="X18" s="1275" t="s">
        <v>420</v>
      </c>
      <c r="Y18" s="1275" t="s">
        <v>420</v>
      </c>
      <c r="Z18" s="1275" t="s">
        <v>420</v>
      </c>
      <c r="AA18" s="1275" t="s">
        <v>420</v>
      </c>
      <c r="AB18" s="1275" t="s">
        <v>426</v>
      </c>
      <c r="AC18" s="1275" t="s">
        <v>420</v>
      </c>
      <c r="AD18" s="1275" t="s">
        <v>420</v>
      </c>
      <c r="AE18" s="1275" t="s">
        <v>426</v>
      </c>
      <c r="AF18" s="1275" t="s">
        <v>420</v>
      </c>
      <c r="AG18" s="1275" t="s">
        <v>420</v>
      </c>
      <c r="AH18" s="1275" t="s">
        <v>420</v>
      </c>
    </row>
    <row r="19" spans="1:34" ht="17.45" customHeight="1">
      <c r="A19" s="1272" t="s">
        <v>775</v>
      </c>
      <c r="B19" s="1471"/>
      <c r="C19" s="1274"/>
      <c r="D19" s="1269"/>
      <c r="E19" s="1269"/>
      <c r="F19" s="1269"/>
      <c r="G19" s="1269"/>
      <c r="H19" s="1269"/>
      <c r="I19" s="1269"/>
      <c r="J19" s="1269"/>
      <c r="K19" s="1269"/>
      <c r="L19" s="1269"/>
      <c r="M19" s="1269"/>
      <c r="N19" s="1269"/>
      <c r="O19" s="1270"/>
      <c r="P19" s="1269"/>
      <c r="Q19" s="1269"/>
      <c r="R19" s="1269"/>
      <c r="S19" s="1269"/>
      <c r="T19" s="1269"/>
      <c r="U19" s="1269"/>
      <c r="V19" s="1269"/>
      <c r="W19" s="1269"/>
      <c r="X19" s="1269"/>
      <c r="Y19" s="1269"/>
      <c r="Z19" s="1269"/>
      <c r="AA19" s="1269"/>
      <c r="AB19" s="1269"/>
      <c r="AC19" s="1269"/>
      <c r="AD19" s="1269"/>
      <c r="AE19" s="1269"/>
      <c r="AF19" s="1270"/>
      <c r="AG19" s="1269"/>
      <c r="AH19" s="1269"/>
    </row>
    <row r="20" spans="1:34" ht="17.45" customHeight="1">
      <c r="A20" s="1272" t="s">
        <v>776</v>
      </c>
      <c r="B20" s="1471"/>
      <c r="C20" s="1271"/>
      <c r="D20" s="1269"/>
      <c r="E20" s="1269"/>
      <c r="F20" s="1269"/>
      <c r="G20" s="1269"/>
      <c r="H20" s="1269"/>
      <c r="I20" s="1269"/>
      <c r="J20" s="1269"/>
      <c r="K20" s="1269"/>
      <c r="L20" s="1269"/>
      <c r="M20" s="1269"/>
      <c r="N20" s="1269"/>
      <c r="O20" s="1270"/>
      <c r="P20" s="1269"/>
      <c r="Q20" s="1269"/>
      <c r="R20" s="1269"/>
      <c r="S20" s="1269"/>
      <c r="T20" s="1269"/>
      <c r="U20" s="1269"/>
      <c r="V20" s="1269"/>
      <c r="W20" s="1269"/>
      <c r="X20" s="1269"/>
      <c r="Y20" s="1269"/>
      <c r="Z20" s="1269"/>
      <c r="AA20" s="1269"/>
      <c r="AB20" s="1269"/>
      <c r="AC20" s="1269"/>
      <c r="AD20" s="1269"/>
      <c r="AE20" s="1269"/>
      <c r="AF20" s="1270"/>
      <c r="AG20" s="1269"/>
      <c r="AH20" s="1269"/>
    </row>
    <row r="21" spans="1:34" ht="17.45" customHeight="1">
      <c r="A21" s="1272" t="s">
        <v>1371</v>
      </c>
      <c r="B21" s="1471"/>
      <c r="C21" s="1271"/>
      <c r="D21" s="1269"/>
      <c r="E21" s="1269"/>
      <c r="F21" s="1269"/>
      <c r="G21" s="1269"/>
      <c r="H21" s="1269"/>
      <c r="I21" s="1269"/>
      <c r="J21" s="1269"/>
      <c r="K21" s="1269"/>
      <c r="L21" s="1269"/>
      <c r="M21" s="1269"/>
      <c r="N21" s="1269"/>
      <c r="O21" s="1270"/>
      <c r="P21" s="1269"/>
      <c r="Q21" s="1269"/>
      <c r="R21" s="1269"/>
      <c r="S21" s="1269"/>
      <c r="T21" s="1269"/>
      <c r="U21" s="1269"/>
      <c r="V21" s="1269"/>
      <c r="W21" s="1269"/>
      <c r="X21" s="1269"/>
      <c r="Y21" s="1269"/>
      <c r="Z21" s="1269"/>
      <c r="AA21" s="1269"/>
      <c r="AB21" s="1269"/>
      <c r="AC21" s="1269"/>
      <c r="AD21" s="1269"/>
      <c r="AE21" s="1269"/>
      <c r="AF21" s="1270"/>
      <c r="AG21" s="1269"/>
      <c r="AH21" s="1269"/>
    </row>
    <row r="22" spans="1:34" ht="17.45" customHeight="1">
      <c r="A22" s="1272" t="s">
        <v>1375</v>
      </c>
      <c r="B22" s="1471"/>
      <c r="C22" s="1271"/>
      <c r="D22" s="1269"/>
      <c r="E22" s="1269"/>
      <c r="F22" s="1269"/>
      <c r="G22" s="1269"/>
      <c r="H22" s="1269"/>
      <c r="I22" s="1269"/>
      <c r="J22" s="1269"/>
      <c r="K22" s="1269"/>
      <c r="L22" s="1269"/>
      <c r="M22" s="1269"/>
      <c r="N22" s="1269"/>
      <c r="O22" s="1270"/>
      <c r="P22" s="1269"/>
      <c r="Q22" s="1269"/>
      <c r="R22" s="1269"/>
      <c r="S22" s="1269"/>
      <c r="T22" s="1269"/>
      <c r="U22" s="1269"/>
      <c r="V22" s="1269"/>
      <c r="W22" s="1269"/>
      <c r="X22" s="1269"/>
      <c r="Y22" s="1269"/>
      <c r="Z22" s="1269"/>
      <c r="AA22" s="1269"/>
      <c r="AB22" s="1269"/>
      <c r="AC22" s="1269"/>
      <c r="AD22" s="1269"/>
      <c r="AE22" s="1269"/>
      <c r="AF22" s="1270"/>
      <c r="AG22" s="1269"/>
      <c r="AH22" s="1269"/>
    </row>
    <row r="23" spans="1:34" ht="17.45" customHeight="1">
      <c r="A23" s="1272" t="s">
        <v>1377</v>
      </c>
      <c r="B23" s="1471"/>
      <c r="C23" s="1271"/>
      <c r="D23" s="1269"/>
      <c r="E23" s="1269"/>
      <c r="F23" s="1269"/>
      <c r="G23" s="1269"/>
      <c r="H23" s="1269"/>
      <c r="I23" s="1269"/>
      <c r="J23" s="1269"/>
      <c r="K23" s="1269"/>
      <c r="L23" s="1269"/>
      <c r="M23" s="1269"/>
      <c r="N23" s="1269"/>
      <c r="O23" s="1270"/>
      <c r="P23" s="1269"/>
      <c r="Q23" s="1269"/>
      <c r="R23" s="1269"/>
      <c r="S23" s="1269"/>
      <c r="T23" s="1269"/>
      <c r="U23" s="1269"/>
      <c r="V23" s="1269"/>
      <c r="W23" s="1269"/>
      <c r="X23" s="1269"/>
      <c r="Y23" s="1269"/>
      <c r="Z23" s="1269"/>
      <c r="AA23" s="1269"/>
      <c r="AB23" s="1269"/>
      <c r="AC23" s="1269"/>
      <c r="AD23" s="1269"/>
      <c r="AE23" s="1269"/>
      <c r="AF23" s="1270"/>
      <c r="AG23" s="1269"/>
      <c r="AH23" s="1269"/>
    </row>
    <row r="24" spans="1:34" ht="17.45" customHeight="1">
      <c r="A24" s="1272" t="s">
        <v>1379</v>
      </c>
      <c r="B24" s="1471"/>
      <c r="C24" s="1271"/>
      <c r="D24" s="1269"/>
      <c r="E24" s="1269"/>
      <c r="F24" s="1269"/>
      <c r="G24" s="1269"/>
      <c r="H24" s="1269"/>
      <c r="I24" s="1269"/>
      <c r="J24" s="1269"/>
      <c r="K24" s="1269"/>
      <c r="L24" s="1269"/>
      <c r="M24" s="1269"/>
      <c r="N24" s="1269"/>
      <c r="O24" s="1270"/>
      <c r="P24" s="1269"/>
      <c r="Q24" s="1269"/>
      <c r="R24" s="1269"/>
      <c r="S24" s="1269"/>
      <c r="T24" s="1269"/>
      <c r="U24" s="1269"/>
      <c r="V24" s="1269"/>
      <c r="W24" s="1269"/>
      <c r="X24" s="1269"/>
      <c r="Y24" s="1269"/>
      <c r="Z24" s="1269"/>
      <c r="AA24" s="1269"/>
      <c r="AB24" s="1269"/>
      <c r="AC24" s="1269"/>
      <c r="AD24" s="1269"/>
      <c r="AE24" s="1269"/>
      <c r="AF24" s="1270"/>
      <c r="AG24" s="1269"/>
      <c r="AH24" s="1269"/>
    </row>
    <row r="25" spans="1:34" ht="17.45" customHeight="1">
      <c r="A25" s="1272" t="s">
        <v>1382</v>
      </c>
      <c r="B25" s="1471"/>
      <c r="C25" s="1271"/>
      <c r="D25" s="1269"/>
      <c r="E25" s="1269"/>
      <c r="F25" s="1269"/>
      <c r="G25" s="1269"/>
      <c r="H25" s="1269"/>
      <c r="I25" s="1269"/>
      <c r="J25" s="1269"/>
      <c r="K25" s="1269"/>
      <c r="L25" s="1269"/>
      <c r="M25" s="1269"/>
      <c r="N25" s="1269"/>
      <c r="O25" s="1270"/>
      <c r="P25" s="1269"/>
      <c r="Q25" s="1269"/>
      <c r="R25" s="1273"/>
      <c r="S25" s="1269"/>
      <c r="T25" s="1269"/>
      <c r="U25" s="1269"/>
      <c r="V25" s="1269"/>
      <c r="W25" s="1269"/>
      <c r="X25" s="1269"/>
      <c r="Y25" s="1269"/>
      <c r="Z25" s="1269"/>
      <c r="AA25" s="1269"/>
      <c r="AB25" s="1269"/>
      <c r="AC25" s="1269"/>
      <c r="AD25" s="1269"/>
      <c r="AE25" s="1269"/>
      <c r="AF25" s="1270"/>
      <c r="AG25" s="1269"/>
      <c r="AH25" s="1269"/>
    </row>
    <row r="26" spans="1:34" ht="17.45" customHeight="1">
      <c r="A26" s="1272" t="s">
        <v>1385</v>
      </c>
      <c r="B26" s="1471"/>
      <c r="C26" s="1271"/>
      <c r="D26" s="1269"/>
      <c r="E26" s="1269"/>
      <c r="F26" s="1269"/>
      <c r="G26" s="1269"/>
      <c r="H26" s="1269"/>
      <c r="I26" s="1269"/>
      <c r="J26" s="1269"/>
      <c r="K26" s="1269"/>
      <c r="L26" s="1269"/>
      <c r="M26" s="1269"/>
      <c r="N26" s="1269"/>
      <c r="O26" s="1270"/>
      <c r="P26" s="1269"/>
      <c r="Q26" s="1269"/>
      <c r="R26" s="1269"/>
      <c r="S26" s="1269"/>
      <c r="T26" s="1269"/>
      <c r="U26" s="1269"/>
      <c r="V26" s="1269"/>
      <c r="W26" s="1269"/>
      <c r="X26" s="1269"/>
      <c r="Y26" s="1269"/>
      <c r="Z26" s="1269"/>
      <c r="AA26" s="1269"/>
      <c r="AB26" s="1269"/>
      <c r="AC26" s="1269"/>
      <c r="AD26" s="1269"/>
      <c r="AE26" s="1269"/>
      <c r="AF26" s="1270"/>
      <c r="AG26" s="1269"/>
      <c r="AH26" s="1269"/>
    </row>
    <row r="27" spans="1:34" ht="17.45" customHeight="1">
      <c r="A27" s="1272" t="s">
        <v>1388</v>
      </c>
      <c r="B27" s="1471"/>
      <c r="C27" s="1271"/>
      <c r="D27" s="1269"/>
      <c r="E27" s="1269"/>
      <c r="F27" s="1269"/>
      <c r="G27" s="1269"/>
      <c r="H27" s="1269"/>
      <c r="I27" s="1269"/>
      <c r="J27" s="1269"/>
      <c r="K27" s="1269"/>
      <c r="L27" s="1269"/>
      <c r="M27" s="1269"/>
      <c r="N27" s="1269"/>
      <c r="O27" s="1270"/>
      <c r="P27" s="1269"/>
      <c r="Q27" s="1269"/>
      <c r="R27" s="1269"/>
      <c r="S27" s="1269"/>
      <c r="T27" s="1269"/>
      <c r="U27" s="1269"/>
      <c r="V27" s="1269"/>
      <c r="W27" s="1269"/>
      <c r="X27" s="1269"/>
      <c r="Y27" s="1269"/>
      <c r="Z27" s="1269"/>
      <c r="AA27" s="1269"/>
      <c r="AB27" s="1269"/>
      <c r="AC27" s="1269"/>
      <c r="AD27" s="1269"/>
      <c r="AE27" s="1269"/>
      <c r="AF27" s="1270"/>
      <c r="AG27" s="1269"/>
      <c r="AH27" s="1269"/>
    </row>
    <row r="28" spans="1:34" ht="17.45" customHeight="1">
      <c r="A28" s="1272" t="s">
        <v>1423</v>
      </c>
      <c r="B28" s="1471"/>
      <c r="C28" s="1271"/>
      <c r="D28" s="1269"/>
      <c r="E28" s="1269"/>
      <c r="F28" s="1269"/>
      <c r="G28" s="1269"/>
      <c r="H28" s="1269"/>
      <c r="I28" s="1269"/>
      <c r="J28" s="1269"/>
      <c r="K28" s="1269"/>
      <c r="L28" s="1269"/>
      <c r="M28" s="1269"/>
      <c r="N28" s="1269"/>
      <c r="O28" s="1270"/>
      <c r="P28" s="1269"/>
      <c r="Q28" s="1269"/>
      <c r="R28" s="1269"/>
      <c r="S28" s="1269"/>
      <c r="T28" s="1269"/>
      <c r="U28" s="1269"/>
      <c r="V28" s="1269"/>
      <c r="W28" s="1269"/>
      <c r="X28" s="1269"/>
      <c r="Y28" s="1269"/>
      <c r="Z28" s="1269"/>
      <c r="AA28" s="1269"/>
      <c r="AB28" s="1269"/>
      <c r="AC28" s="1269"/>
      <c r="AD28" s="1269"/>
      <c r="AE28" s="1269"/>
      <c r="AF28" s="1270"/>
      <c r="AG28" s="1269"/>
      <c r="AH28" s="1269"/>
    </row>
    <row r="29" spans="1:34" ht="17.45" customHeight="1">
      <c r="A29" s="1272" t="s">
        <v>1425</v>
      </c>
      <c r="B29" s="1471"/>
      <c r="C29" s="1271"/>
      <c r="D29" s="1269"/>
      <c r="E29" s="1269"/>
      <c r="F29" s="1269"/>
      <c r="G29" s="1269"/>
      <c r="H29" s="1269"/>
      <c r="I29" s="1269"/>
      <c r="J29" s="1269"/>
      <c r="K29" s="1269"/>
      <c r="L29" s="1269"/>
      <c r="M29" s="1269"/>
      <c r="N29" s="1269"/>
      <c r="O29" s="1270"/>
      <c r="P29" s="1269"/>
      <c r="Q29" s="1269"/>
      <c r="R29" s="1269"/>
      <c r="S29" s="1269"/>
      <c r="T29" s="1269"/>
      <c r="U29" s="1269"/>
      <c r="V29" s="1269"/>
      <c r="W29" s="1269"/>
      <c r="X29" s="1269"/>
      <c r="Y29" s="1269"/>
      <c r="Z29" s="1269"/>
      <c r="AA29" s="1269"/>
      <c r="AB29" s="1269"/>
      <c r="AC29" s="1269"/>
      <c r="AD29" s="1269"/>
      <c r="AE29" s="1269"/>
      <c r="AF29" s="1270"/>
      <c r="AG29" s="1269"/>
      <c r="AH29" s="1269"/>
    </row>
    <row r="30" spans="1:34" ht="17.45" customHeight="1">
      <c r="A30" s="1272" t="s">
        <v>1427</v>
      </c>
      <c r="B30" s="1471"/>
      <c r="C30" s="1271"/>
      <c r="D30" s="1269"/>
      <c r="E30" s="1269"/>
      <c r="F30" s="1269"/>
      <c r="G30" s="1269"/>
      <c r="H30" s="1269"/>
      <c r="I30" s="1269"/>
      <c r="J30" s="1269"/>
      <c r="K30" s="1269"/>
      <c r="L30" s="1269"/>
      <c r="M30" s="1269"/>
      <c r="N30" s="1269"/>
      <c r="O30" s="1270"/>
      <c r="P30" s="1269"/>
      <c r="Q30" s="1269"/>
      <c r="R30" s="1269"/>
      <c r="S30" s="1269"/>
      <c r="T30" s="1269"/>
      <c r="U30" s="1269"/>
      <c r="V30" s="1269"/>
      <c r="W30" s="1269"/>
      <c r="X30" s="1269"/>
      <c r="Y30" s="1269"/>
      <c r="Z30" s="1269"/>
      <c r="AA30" s="1269"/>
      <c r="AB30" s="1269"/>
      <c r="AC30" s="1269"/>
      <c r="AD30" s="1269"/>
      <c r="AE30" s="1269"/>
      <c r="AF30" s="1270"/>
      <c r="AG30" s="1269"/>
      <c r="AH30" s="1269"/>
    </row>
    <row r="31" spans="1:34" ht="17.45" customHeight="1">
      <c r="A31" s="1272" t="s">
        <v>2451</v>
      </c>
      <c r="B31" s="1471"/>
      <c r="C31" s="1271"/>
      <c r="D31" s="1269"/>
      <c r="E31" s="1269"/>
      <c r="F31" s="1269"/>
      <c r="G31" s="1269"/>
      <c r="H31" s="1269"/>
      <c r="I31" s="1269"/>
      <c r="J31" s="1269"/>
      <c r="K31" s="1269"/>
      <c r="L31" s="1269"/>
      <c r="M31" s="1269"/>
      <c r="N31" s="1269"/>
      <c r="O31" s="1270"/>
      <c r="P31" s="1269"/>
      <c r="Q31" s="1269"/>
      <c r="R31" s="1269"/>
      <c r="S31" s="1269"/>
      <c r="T31" s="1269"/>
      <c r="U31" s="1269"/>
      <c r="V31" s="1269"/>
      <c r="W31" s="1269"/>
      <c r="X31" s="1269"/>
      <c r="Y31" s="1269"/>
      <c r="Z31" s="1269"/>
      <c r="AA31" s="1269"/>
      <c r="AB31" s="1269"/>
      <c r="AC31" s="1269"/>
      <c r="AD31" s="1269"/>
      <c r="AE31" s="1269"/>
      <c r="AF31" s="1270"/>
      <c r="AG31" s="1269"/>
      <c r="AH31" s="1269"/>
    </row>
    <row r="32" spans="1:34" ht="17.45" customHeight="1">
      <c r="A32" s="1272" t="s">
        <v>2452</v>
      </c>
      <c r="B32" s="1471"/>
      <c r="C32" s="1271"/>
      <c r="D32" s="1269"/>
      <c r="E32" s="1269"/>
      <c r="F32" s="1269"/>
      <c r="G32" s="1269"/>
      <c r="H32" s="1269"/>
      <c r="I32" s="1269"/>
      <c r="J32" s="1269"/>
      <c r="K32" s="1269"/>
      <c r="L32" s="1269"/>
      <c r="M32" s="1269"/>
      <c r="N32" s="1269"/>
      <c r="O32" s="1270"/>
      <c r="P32" s="1269"/>
      <c r="Q32" s="1269"/>
      <c r="R32" s="1269"/>
      <c r="S32" s="1269"/>
      <c r="T32" s="1269"/>
      <c r="U32" s="1269"/>
      <c r="V32" s="1269"/>
      <c r="W32" s="1269"/>
      <c r="X32" s="1269"/>
      <c r="Y32" s="1269"/>
      <c r="Z32" s="1269"/>
      <c r="AA32" s="1269"/>
      <c r="AB32" s="1269"/>
      <c r="AC32" s="1269"/>
      <c r="AD32" s="1269"/>
      <c r="AE32" s="1269"/>
      <c r="AF32" s="1270"/>
      <c r="AG32" s="1269"/>
      <c r="AH32" s="1269"/>
    </row>
    <row r="33" spans="1:34" ht="17.45" customHeight="1">
      <c r="A33" s="1272" t="s">
        <v>2453</v>
      </c>
      <c r="B33" s="1471"/>
      <c r="C33" s="1271"/>
      <c r="D33" s="1269"/>
      <c r="E33" s="1269"/>
      <c r="F33" s="1269"/>
      <c r="G33" s="1269"/>
      <c r="H33" s="1269"/>
      <c r="I33" s="1269"/>
      <c r="J33" s="1269"/>
      <c r="K33" s="1269"/>
      <c r="L33" s="1269"/>
      <c r="M33" s="1269"/>
      <c r="N33" s="1269"/>
      <c r="O33" s="1270"/>
      <c r="P33" s="1269"/>
      <c r="Q33" s="1269"/>
      <c r="R33" s="1269"/>
      <c r="S33" s="1269"/>
      <c r="T33" s="1269"/>
      <c r="U33" s="1269"/>
      <c r="V33" s="1269"/>
      <c r="W33" s="1269"/>
      <c r="X33" s="1269"/>
      <c r="Y33" s="1269"/>
      <c r="Z33" s="1269"/>
      <c r="AA33" s="1269"/>
      <c r="AB33" s="1269"/>
      <c r="AC33" s="1269"/>
      <c r="AD33" s="1269"/>
      <c r="AE33" s="1269"/>
      <c r="AF33" s="1270"/>
      <c r="AG33" s="1269"/>
      <c r="AH33" s="1269"/>
    </row>
    <row r="34" spans="1:34">
      <c r="B34" s="1193">
        <v>0</v>
      </c>
      <c r="C34" s="892">
        <v>1</v>
      </c>
      <c r="D34" s="892">
        <v>2</v>
      </c>
      <c r="G34" s="892">
        <v>3</v>
      </c>
      <c r="J34" s="1267">
        <f>G34+1</f>
        <v>4</v>
      </c>
      <c r="K34" s="1267">
        <f>J34+1</f>
        <v>5</v>
      </c>
      <c r="L34" s="1267"/>
      <c r="M34" s="1267"/>
      <c r="N34" s="1267"/>
      <c r="O34" s="1267">
        <f>K34+1</f>
        <v>6</v>
      </c>
      <c r="P34" s="1190">
        <f t="shared" ref="P34:V34" si="1">O34+1</f>
        <v>7</v>
      </c>
      <c r="Q34" s="1190">
        <f t="shared" si="1"/>
        <v>8</v>
      </c>
      <c r="R34" s="1190">
        <f t="shared" si="1"/>
        <v>9</v>
      </c>
      <c r="S34" s="1190">
        <f t="shared" si="1"/>
        <v>10</v>
      </c>
      <c r="T34" s="1190">
        <f t="shared" si="1"/>
        <v>11</v>
      </c>
      <c r="U34" s="1190">
        <f t="shared" si="1"/>
        <v>12</v>
      </c>
      <c r="V34" s="1190">
        <f t="shared" si="1"/>
        <v>13</v>
      </c>
      <c r="Y34" s="1190">
        <f>V34+1</f>
        <v>14</v>
      </c>
      <c r="Z34" s="1190">
        <f>Y34+1</f>
        <v>15</v>
      </c>
      <c r="AA34" s="1190">
        <f>Z34+1</f>
        <v>16</v>
      </c>
      <c r="AB34" s="1190">
        <f>AA34+1</f>
        <v>17</v>
      </c>
      <c r="AE34" s="1190">
        <f>AB34+1</f>
        <v>18</v>
      </c>
      <c r="AF34" s="1190">
        <f>AE34+1</f>
        <v>19</v>
      </c>
      <c r="AG34" s="1190">
        <f>AF34+1</f>
        <v>20</v>
      </c>
    </row>
  </sheetData>
  <mergeCells count="45">
    <mergeCell ref="B1:B3"/>
    <mergeCell ref="D5:F9"/>
    <mergeCell ref="G5:I9"/>
    <mergeCell ref="D15:F16"/>
    <mergeCell ref="G15:I16"/>
    <mergeCell ref="C5:C17"/>
    <mergeCell ref="G14:H14"/>
    <mergeCell ref="K14:L14"/>
    <mergeCell ref="V5:X9"/>
    <mergeCell ref="A4:A18"/>
    <mergeCell ref="D4:F4"/>
    <mergeCell ref="J5:J16"/>
    <mergeCell ref="O5:O16"/>
    <mergeCell ref="Q5:Q16"/>
    <mergeCell ref="T5:T16"/>
    <mergeCell ref="K15:N16"/>
    <mergeCell ref="R5:R16"/>
    <mergeCell ref="K5:N6"/>
    <mergeCell ref="K7:N9"/>
    <mergeCell ref="AE5:AE16"/>
    <mergeCell ref="AF5:AF16"/>
    <mergeCell ref="AG5:AH16"/>
    <mergeCell ref="B8:B17"/>
    <mergeCell ref="D11:F13"/>
    <mergeCell ref="G11:I13"/>
    <mergeCell ref="K11:N13"/>
    <mergeCell ref="V11:X12"/>
    <mergeCell ref="AB11:AD13"/>
    <mergeCell ref="P5:P16"/>
    <mergeCell ref="S5:S16"/>
    <mergeCell ref="U5:U16"/>
    <mergeCell ref="D10:E10"/>
    <mergeCell ref="G10:H10"/>
    <mergeCell ref="K10:L10"/>
    <mergeCell ref="D14:E14"/>
    <mergeCell ref="Y5:Y16"/>
    <mergeCell ref="Z5:Z16"/>
    <mergeCell ref="AA5:AA16"/>
    <mergeCell ref="AB5:AD9"/>
    <mergeCell ref="V14:X15"/>
    <mergeCell ref="AB15:AD16"/>
    <mergeCell ref="V13:W13"/>
    <mergeCell ref="V10:W10"/>
    <mergeCell ref="AB10:AC10"/>
    <mergeCell ref="AB14:AC14"/>
  </mergeCells>
  <pageMargins left="0.314" right="0.314" top="0.11799999999999999" bottom="0.27500000000000002" header="0.157" footer="0.11799999999999999"/>
  <pageSetup scale="64" firstPageNumber="78" orientation="landscape" r:id="rId1"/>
  <headerFooter>
    <oddFooter>&amp;C&amp;P</oddFooter>
  </headerFooter>
  <colBreaks count="1" manualBreakCount="1">
    <brk id="17" max="32" man="1"/>
  </colBreaks>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200-000000000000}">
  <dimension ref="A1:CQ21"/>
  <sheetViews>
    <sheetView showWhiteSpace="0" view="pageLayout" topLeftCell="AZ5" zoomScale="140" zoomScaleNormal="80" zoomScaleSheetLayoutView="100" zoomScalePageLayoutView="140" workbookViewId="0">
      <selection activeCell="BJ7" sqref="BJ7:BL7"/>
    </sheetView>
  </sheetViews>
  <sheetFormatPr defaultColWidth="9.140625" defaultRowHeight="16.5"/>
  <cols>
    <col min="1" max="1" width="21.85546875" style="656" bestFit="1" customWidth="1"/>
    <col min="2" max="2" width="5" style="656" customWidth="1"/>
    <col min="3" max="3" width="11.140625" style="656" customWidth="1"/>
    <col min="4" max="4" width="5.7109375" style="656" customWidth="1"/>
    <col min="5" max="5" width="9" style="656" customWidth="1"/>
    <col min="6" max="6" width="7.28515625" style="656" customWidth="1"/>
    <col min="7" max="21" width="5" style="656" customWidth="1"/>
    <col min="22" max="22" width="10.140625" style="656" customWidth="1"/>
    <col min="23" max="23" width="16.28515625" style="656" customWidth="1"/>
    <col min="24" max="24" width="13" style="656" customWidth="1"/>
    <col min="25" max="25" width="11.85546875" style="271" customWidth="1"/>
    <col min="26" max="26" width="10.5703125" style="656" customWidth="1"/>
    <col min="27" max="27" width="16.28515625" style="656" customWidth="1"/>
    <col min="28" max="28" width="17.7109375" style="656" customWidth="1"/>
    <col min="29" max="29" width="8.42578125" style="656" customWidth="1"/>
    <col min="30" max="30" width="7.85546875" style="656" bestFit="1" customWidth="1"/>
    <col min="31" max="32" width="11.5703125" style="271" customWidth="1"/>
    <col min="33" max="41" width="9.140625" style="271"/>
    <col min="42" max="42" width="13.7109375" style="271" customWidth="1"/>
    <col min="43" max="43" width="13.7109375" style="656" customWidth="1"/>
    <col min="44" max="49" width="13.7109375" style="271" customWidth="1"/>
    <col min="50" max="60" width="8.7109375" style="271" customWidth="1"/>
    <col min="61" max="61" width="6.5703125" style="271" customWidth="1"/>
    <col min="62" max="62" width="7" style="271" customWidth="1"/>
    <col min="63" max="63" width="5.28515625" style="271" bestFit="1" customWidth="1"/>
    <col min="64" max="64" width="9.140625" style="271" customWidth="1"/>
    <col min="65" max="65" width="8.7109375" style="271" customWidth="1"/>
    <col min="66" max="67" width="7.140625" style="271" bestFit="1" customWidth="1"/>
    <col min="68" max="68" width="8.28515625" style="271" customWidth="1"/>
    <col min="69" max="69" width="7" style="271" customWidth="1"/>
    <col min="70" max="70" width="5.28515625" style="271" bestFit="1" customWidth="1"/>
    <col min="71" max="71" width="10.7109375" style="271" customWidth="1"/>
    <col min="72" max="72" width="9.7109375" style="271" customWidth="1"/>
    <col min="73" max="74" width="6.7109375" style="271" bestFit="1" customWidth="1"/>
    <col min="75" max="95" width="12.7109375" style="271" customWidth="1"/>
    <col min="96" max="16384" width="9.140625" style="271"/>
  </cols>
  <sheetData>
    <row r="1" spans="1:95">
      <c r="A1" s="541" t="s">
        <v>2554</v>
      </c>
    </row>
    <row r="2" spans="1:95">
      <c r="A2" s="189"/>
      <c r="B2" s="189" t="s">
        <v>2555</v>
      </c>
      <c r="C2" s="657"/>
      <c r="D2" s="189"/>
      <c r="E2" s="657"/>
      <c r="F2" s="657"/>
      <c r="G2" s="657"/>
      <c r="H2" s="657"/>
      <c r="I2" s="657"/>
      <c r="J2" s="657"/>
      <c r="K2" s="657"/>
      <c r="L2" s="657"/>
      <c r="M2" s="657"/>
      <c r="N2" s="657"/>
      <c r="O2" s="657"/>
      <c r="P2" s="657"/>
      <c r="Q2" s="657"/>
      <c r="R2" s="657"/>
      <c r="S2" s="657"/>
      <c r="T2" s="657"/>
      <c r="U2" s="657"/>
      <c r="V2" s="657"/>
      <c r="W2" s="657"/>
      <c r="X2" s="657"/>
    </row>
    <row r="3" spans="1:95">
      <c r="A3" s="24"/>
      <c r="B3" s="24" t="s">
        <v>2556</v>
      </c>
      <c r="C3" s="171"/>
      <c r="D3" s="24"/>
      <c r="E3" s="171"/>
      <c r="F3" s="171"/>
      <c r="G3" s="171"/>
      <c r="H3" s="171"/>
      <c r="I3" s="171"/>
      <c r="J3" s="171"/>
      <c r="K3" s="171"/>
      <c r="L3" s="171"/>
      <c r="M3" s="171"/>
      <c r="N3" s="171"/>
      <c r="O3" s="171"/>
      <c r="P3" s="171"/>
      <c r="Q3" s="171"/>
      <c r="R3" s="171"/>
      <c r="S3" s="171"/>
      <c r="T3" s="171"/>
      <c r="U3" s="171"/>
      <c r="V3" s="658"/>
      <c r="W3" s="658"/>
      <c r="X3" s="658"/>
    </row>
    <row r="4" spans="1:95">
      <c r="A4" s="24"/>
      <c r="B4" s="24" t="s">
        <v>2557</v>
      </c>
      <c r="C4" s="171"/>
      <c r="D4" s="24"/>
      <c r="E4" s="171"/>
      <c r="F4" s="171"/>
      <c r="G4" s="171"/>
      <c r="H4" s="171"/>
      <c r="I4" s="171"/>
      <c r="J4" s="171"/>
      <c r="K4" s="171"/>
      <c r="L4" s="171"/>
      <c r="M4" s="171"/>
      <c r="N4" s="171"/>
      <c r="O4" s="171"/>
      <c r="P4" s="171"/>
      <c r="Q4" s="171"/>
      <c r="R4" s="171"/>
      <c r="S4" s="171"/>
      <c r="T4" s="171"/>
      <c r="U4" s="171"/>
      <c r="V4" s="658"/>
      <c r="W4" s="658"/>
      <c r="X4" s="658"/>
    </row>
    <row r="5" spans="1:95">
      <c r="A5" s="271"/>
      <c r="C5" s="628"/>
      <c r="E5" s="628"/>
      <c r="F5" s="171"/>
      <c r="G5" s="171"/>
      <c r="H5" s="171"/>
      <c r="I5" s="171"/>
      <c r="J5" s="171"/>
      <c r="K5" s="171"/>
      <c r="L5" s="171"/>
      <c r="M5" s="171"/>
      <c r="N5" s="171"/>
      <c r="O5" s="171"/>
      <c r="P5" s="171"/>
      <c r="Q5" s="171"/>
      <c r="R5" s="171"/>
      <c r="S5" s="171"/>
      <c r="T5" s="171"/>
      <c r="U5" s="171"/>
      <c r="V5" s="658"/>
      <c r="W5" s="658"/>
      <c r="X5" s="658"/>
      <c r="BN5" s="769"/>
    </row>
    <row r="6" spans="1:95" ht="13.5">
      <c r="A6" s="1928">
        <v>17.010000000000002</v>
      </c>
      <c r="B6" s="1928">
        <f t="shared" ref="B6:G6" si="0">A6+0.01</f>
        <v>17.020000000000003</v>
      </c>
      <c r="C6" s="1929">
        <f>B6+0.01</f>
        <v>17.030000000000005</v>
      </c>
      <c r="D6" s="1928">
        <f>C6+0.01</f>
        <v>17.040000000000006</v>
      </c>
      <c r="E6" s="1928">
        <f>D6+0.01</f>
        <v>17.050000000000008</v>
      </c>
      <c r="F6" s="1929">
        <f t="shared" si="0"/>
        <v>17.060000000000009</v>
      </c>
      <c r="G6" s="2957">
        <f t="shared" si="0"/>
        <v>17.070000000000011</v>
      </c>
      <c r="H6" s="2958"/>
      <c r="I6" s="2958"/>
      <c r="J6" s="2958"/>
      <c r="K6" s="2958"/>
      <c r="L6" s="2958"/>
      <c r="M6" s="2958"/>
      <c r="N6" s="2958"/>
      <c r="O6" s="2958"/>
      <c r="P6" s="2958"/>
      <c r="Q6" s="2958"/>
      <c r="R6" s="2958"/>
      <c r="S6" s="2958"/>
      <c r="T6" s="2958"/>
      <c r="U6" s="2961"/>
      <c r="V6" s="1929">
        <f>G6+0.01</f>
        <v>17.080000000000013</v>
      </c>
      <c r="W6" s="1929">
        <f t="shared" ref="W6:AC6" si="1">V6+0.01</f>
        <v>17.090000000000014</v>
      </c>
      <c r="X6" s="1929">
        <f t="shared" si="1"/>
        <v>17.100000000000016</v>
      </c>
      <c r="Y6" s="1929">
        <f>X6+0.01</f>
        <v>17.110000000000017</v>
      </c>
      <c r="Z6" s="1929">
        <f>Y6+0.01</f>
        <v>17.120000000000019</v>
      </c>
      <c r="AA6" s="1929">
        <f t="shared" si="1"/>
        <v>17.13000000000002</v>
      </c>
      <c r="AB6" s="1929">
        <f t="shared" si="1"/>
        <v>17.140000000000022</v>
      </c>
      <c r="AC6" s="2954">
        <f t="shared" si="1"/>
        <v>17.150000000000023</v>
      </c>
      <c r="AD6" s="2955"/>
      <c r="AE6" s="1929">
        <f>AC6+0.01</f>
        <v>17.160000000000025</v>
      </c>
      <c r="AF6" s="1929">
        <f>AE6+0.01</f>
        <v>17.170000000000027</v>
      </c>
      <c r="AG6" s="2954">
        <f>AF6+0.01</f>
        <v>17.180000000000028</v>
      </c>
      <c r="AH6" s="2956"/>
      <c r="AI6" s="2956"/>
      <c r="AJ6" s="2956"/>
      <c r="AK6" s="2956"/>
      <c r="AL6" s="2956"/>
      <c r="AM6" s="2956"/>
      <c r="AN6" s="2956"/>
      <c r="AO6" s="2955"/>
      <c r="AP6" s="1929">
        <f>AG6+0.01</f>
        <v>17.19000000000003</v>
      </c>
      <c r="AQ6" s="1929">
        <f>AP6+0.01</f>
        <v>17.200000000000031</v>
      </c>
      <c r="AR6" s="1929">
        <f>AQ6+0.01</f>
        <v>17.210000000000033</v>
      </c>
      <c r="AS6" s="2954">
        <f>AR6+0.01</f>
        <v>17.220000000000034</v>
      </c>
      <c r="AT6" s="2955"/>
      <c r="AU6" s="1929">
        <f>AS6+0.01</f>
        <v>17.230000000000036</v>
      </c>
      <c r="AV6" s="2954">
        <f>AU6+0.01</f>
        <v>17.240000000000038</v>
      </c>
      <c r="AW6" s="2955"/>
      <c r="AX6" s="1929">
        <f>AV6+0.01</f>
        <v>17.250000000000039</v>
      </c>
      <c r="AY6" s="1929">
        <f>AX6+0.01</f>
        <v>17.260000000000041</v>
      </c>
      <c r="AZ6" s="2957">
        <f>AY6+0.01</f>
        <v>17.270000000000042</v>
      </c>
      <c r="BA6" s="2958"/>
      <c r="BB6" s="1929">
        <f>AZ6+0.01</f>
        <v>17.280000000000044</v>
      </c>
      <c r="BC6" s="1929">
        <f>BB6+0.01</f>
        <v>17.290000000000045</v>
      </c>
      <c r="BD6" s="1930">
        <f>BC6+0.01</f>
        <v>17.300000000000047</v>
      </c>
      <c r="BE6" s="2956">
        <f>BD6+0.01</f>
        <v>17.310000000000048</v>
      </c>
      <c r="BF6" s="2956"/>
      <c r="BG6" s="2954">
        <f>BE6+0.01</f>
        <v>17.32000000000005</v>
      </c>
      <c r="BH6" s="2956"/>
      <c r="BI6" s="1929">
        <f>BG6+0.01</f>
        <v>17.330000000000052</v>
      </c>
      <c r="BJ6" s="2954">
        <f>BI6+0.01</f>
        <v>17.340000000000053</v>
      </c>
      <c r="BK6" s="2956"/>
      <c r="BL6" s="1931"/>
      <c r="BM6" s="1929">
        <f>BJ6+0.01</f>
        <v>17.350000000000055</v>
      </c>
      <c r="BN6" s="2954">
        <f>BM6+0.01</f>
        <v>17.360000000000056</v>
      </c>
      <c r="BO6" s="2955"/>
      <c r="BP6" s="1929">
        <f>BN6+0.01</f>
        <v>17.370000000000058</v>
      </c>
      <c r="BQ6" s="2954">
        <f>BP6+0.01</f>
        <v>17.380000000000059</v>
      </c>
      <c r="BR6" s="2956"/>
      <c r="BS6" s="1929">
        <f>BQ6+0.01</f>
        <v>17.390000000000061</v>
      </c>
      <c r="BT6" s="1929">
        <f>BS6+0.01</f>
        <v>17.400000000000063</v>
      </c>
      <c r="BU6" s="2954">
        <f>BT6+0.01</f>
        <v>17.410000000000064</v>
      </c>
      <c r="BV6" s="2955"/>
      <c r="BW6" s="1929">
        <f>BU6+0.01</f>
        <v>17.420000000000066</v>
      </c>
      <c r="BX6" s="1929">
        <f>BW6+0.01</f>
        <v>17.430000000000067</v>
      </c>
      <c r="BY6" s="1929">
        <f>BX6+0.01</f>
        <v>17.440000000000069</v>
      </c>
      <c r="BZ6" s="1929">
        <f>BY6+0.01</f>
        <v>17.45000000000007</v>
      </c>
      <c r="CA6" s="1929">
        <f>BZ6+0.01</f>
        <v>17.460000000000072</v>
      </c>
      <c r="CB6" s="2954">
        <f>CA6+0.01</f>
        <v>17.470000000000073</v>
      </c>
      <c r="CC6" s="2955"/>
      <c r="CD6" s="1929">
        <f>CB6+0.01</f>
        <v>17.480000000000075</v>
      </c>
      <c r="CE6" s="1929">
        <f t="shared" ref="CE6:CL6" si="2">CD6+0.01</f>
        <v>17.490000000000077</v>
      </c>
      <c r="CF6" s="1929">
        <f t="shared" si="2"/>
        <v>17.500000000000078</v>
      </c>
      <c r="CG6" s="1929">
        <f t="shared" si="2"/>
        <v>17.51000000000008</v>
      </c>
      <c r="CH6" s="1929">
        <f t="shared" si="2"/>
        <v>17.520000000000081</v>
      </c>
      <c r="CI6" s="1929">
        <f t="shared" si="2"/>
        <v>17.530000000000083</v>
      </c>
      <c r="CJ6" s="1929">
        <f t="shared" si="2"/>
        <v>17.540000000000084</v>
      </c>
      <c r="CK6" s="1929">
        <f t="shared" si="2"/>
        <v>17.550000000000086</v>
      </c>
      <c r="CL6" s="1929">
        <f t="shared" si="2"/>
        <v>17.560000000000088</v>
      </c>
      <c r="CM6" s="1929">
        <f>CL6+0.01</f>
        <v>17.570000000000089</v>
      </c>
      <c r="CN6" s="1929">
        <f>CM6+0.01</f>
        <v>17.580000000000091</v>
      </c>
      <c r="CO6" s="1929">
        <f>CN6+0.01</f>
        <v>17.590000000000092</v>
      </c>
      <c r="CP6" s="1929">
        <f>CO6+0.01</f>
        <v>17.600000000000094</v>
      </c>
      <c r="CQ6" s="1929">
        <f>CP6+0.01</f>
        <v>17.610000000000095</v>
      </c>
    </row>
    <row r="7" spans="1:95" ht="175.5" customHeight="1">
      <c r="A7" s="2542"/>
      <c r="B7" s="2542"/>
      <c r="C7" s="1917" t="s">
        <v>2558</v>
      </c>
      <c r="D7" s="2542" t="s">
        <v>2559</v>
      </c>
      <c r="E7" s="2400" t="s">
        <v>2560</v>
      </c>
      <c r="F7" s="1917" t="s">
        <v>2561</v>
      </c>
      <c r="G7" s="2551" t="s">
        <v>2562</v>
      </c>
      <c r="H7" s="2960"/>
      <c r="I7" s="2960"/>
      <c r="J7" s="2960"/>
      <c r="K7" s="2960"/>
      <c r="L7" s="2960"/>
      <c r="M7" s="2960"/>
      <c r="N7" s="2960"/>
      <c r="O7" s="2960"/>
      <c r="P7" s="2960"/>
      <c r="Q7" s="2960"/>
      <c r="R7" s="2960"/>
      <c r="S7" s="2960"/>
      <c r="T7" s="2960"/>
      <c r="U7" s="2552"/>
      <c r="V7" s="1918" t="s">
        <v>2563</v>
      </c>
      <c r="W7" s="1917" t="s">
        <v>2564</v>
      </c>
      <c r="X7" s="1932" t="s">
        <v>2565</v>
      </c>
      <c r="Y7" s="1917" t="s">
        <v>2566</v>
      </c>
      <c r="Z7" s="1920" t="s">
        <v>2567</v>
      </c>
      <c r="AA7" s="1920" t="s">
        <v>2568</v>
      </c>
      <c r="AB7" s="1917" t="s">
        <v>2569</v>
      </c>
      <c r="AC7" s="2510" t="s">
        <v>2570</v>
      </c>
      <c r="AD7" s="2396"/>
      <c r="AE7" s="1917" t="s">
        <v>2571</v>
      </c>
      <c r="AF7" s="1918" t="s">
        <v>2572</v>
      </c>
      <c r="AG7" s="2510" t="s">
        <v>2573</v>
      </c>
      <c r="AH7" s="2400"/>
      <c r="AI7" s="2400"/>
      <c r="AJ7" s="2400"/>
      <c r="AK7" s="2400"/>
      <c r="AL7" s="2400"/>
      <c r="AM7" s="2400"/>
      <c r="AN7" s="2400"/>
      <c r="AO7" s="2396"/>
      <c r="AP7" s="1932" t="s">
        <v>2574</v>
      </c>
      <c r="AQ7" s="1920" t="s">
        <v>2575</v>
      </c>
      <c r="AR7" s="1921" t="s">
        <v>2576</v>
      </c>
      <c r="AS7" s="2510" t="s">
        <v>2577</v>
      </c>
      <c r="AT7" s="2396"/>
      <c r="AU7" s="1919" t="s">
        <v>2578</v>
      </c>
      <c r="AV7" s="2510" t="s">
        <v>2579</v>
      </c>
      <c r="AW7" s="2396"/>
      <c r="AX7" s="1920" t="s">
        <v>2580</v>
      </c>
      <c r="AY7" s="1917" t="s">
        <v>2581</v>
      </c>
      <c r="AZ7" s="2962" t="s">
        <v>2577</v>
      </c>
      <c r="BA7" s="2962"/>
      <c r="BB7" s="1920" t="s">
        <v>2582</v>
      </c>
      <c r="BC7" s="1920" t="s">
        <v>2583</v>
      </c>
      <c r="BD7" s="1917" t="s">
        <v>2584</v>
      </c>
      <c r="BE7" s="2510" t="s">
        <v>2585</v>
      </c>
      <c r="BF7" s="2396"/>
      <c r="BG7" s="2510" t="s">
        <v>2586</v>
      </c>
      <c r="BH7" s="2396"/>
      <c r="BI7" s="1920" t="s">
        <v>2587</v>
      </c>
      <c r="BJ7" s="2510" t="s">
        <v>2588</v>
      </c>
      <c r="BK7" s="2400"/>
      <c r="BL7" s="2396"/>
      <c r="BM7" s="1920" t="s">
        <v>2589</v>
      </c>
      <c r="BN7" s="2510" t="s">
        <v>2590</v>
      </c>
      <c r="BO7" s="2396"/>
      <c r="BP7" s="1920" t="s">
        <v>2591</v>
      </c>
      <c r="BQ7" s="2510" t="s">
        <v>2592</v>
      </c>
      <c r="BR7" s="2396"/>
      <c r="BS7" s="1920" t="s">
        <v>2593</v>
      </c>
      <c r="BT7" s="1920" t="s">
        <v>2594</v>
      </c>
      <c r="BU7" s="2510" t="s">
        <v>2577</v>
      </c>
      <c r="BV7" s="2396"/>
      <c r="BW7" s="1920" t="str">
        <f>CONCATENATE("Produziu ovos de [...] nos últimos 12 meses?
1=Sim
2=Não ►",TEXT(CE6,"(0,00)"))</f>
        <v>Produziu ovos de [...] nos últimos 12 meses?
1=Sim
2=Não ►(17,49)</v>
      </c>
      <c r="BX7" s="1920" t="s">
        <v>2595</v>
      </c>
      <c r="BY7" s="1920" t="s">
        <v>2596</v>
      </c>
      <c r="BZ7" s="1266" t="s">
        <v>2597</v>
      </c>
      <c r="CA7" s="1920" t="s">
        <v>2598</v>
      </c>
      <c r="CB7" s="2510" t="s">
        <v>2570</v>
      </c>
      <c r="CC7" s="2396"/>
      <c r="CD7" s="1920" t="s">
        <v>2599</v>
      </c>
      <c r="CE7" s="1920" t="s">
        <v>2600</v>
      </c>
      <c r="CF7" s="1920" t="s">
        <v>2601</v>
      </c>
      <c r="CG7" s="1920" t="s">
        <v>2602</v>
      </c>
      <c r="CH7" s="1920" t="s">
        <v>2603</v>
      </c>
      <c r="CI7" s="1933" t="s">
        <v>2604</v>
      </c>
      <c r="CJ7" s="1933" t="s">
        <v>2605</v>
      </c>
      <c r="CK7" s="1933" t="s">
        <v>2606</v>
      </c>
      <c r="CL7" s="1933" t="s">
        <v>2607</v>
      </c>
      <c r="CM7" s="1933" t="s">
        <v>2608</v>
      </c>
      <c r="CN7" s="1933" t="s">
        <v>2609</v>
      </c>
      <c r="CO7" s="1933" t="s">
        <v>2610</v>
      </c>
      <c r="CP7" s="1933" t="s">
        <v>2611</v>
      </c>
      <c r="CQ7" s="1933" t="s">
        <v>2612</v>
      </c>
    </row>
    <row r="8" spans="1:95" ht="13.5">
      <c r="A8" s="2543"/>
      <c r="B8" s="2543"/>
      <c r="C8" s="677"/>
      <c r="D8" s="2543"/>
      <c r="E8" s="2257"/>
      <c r="F8" s="677"/>
      <c r="G8" s="2551" t="s">
        <v>1766</v>
      </c>
      <c r="H8" s="2960"/>
      <c r="I8" s="2552"/>
      <c r="J8" s="2551" t="s">
        <v>1767</v>
      </c>
      <c r="K8" s="2960"/>
      <c r="L8" s="2552"/>
      <c r="M8" s="2551" t="s">
        <v>1768</v>
      </c>
      <c r="N8" s="2960"/>
      <c r="O8" s="2552"/>
      <c r="P8" s="2551" t="s">
        <v>1769</v>
      </c>
      <c r="Q8" s="2960"/>
      <c r="R8" s="2552"/>
      <c r="S8" s="2551" t="s">
        <v>2613</v>
      </c>
      <c r="T8" s="2960"/>
      <c r="U8" s="2552"/>
      <c r="V8" s="1077"/>
      <c r="W8" s="1784"/>
      <c r="X8" s="1078"/>
      <c r="Y8" s="677"/>
      <c r="Z8" s="806"/>
      <c r="AA8" s="1438"/>
      <c r="AB8" s="1784"/>
      <c r="AC8" s="1563"/>
      <c r="AD8" s="1862"/>
      <c r="AE8" s="677"/>
      <c r="AF8" s="1077"/>
      <c r="AG8" s="1563"/>
      <c r="AH8" s="1562"/>
      <c r="AI8" s="1562"/>
      <c r="AJ8" s="1562"/>
      <c r="AK8" s="1562"/>
      <c r="AL8" s="1562"/>
      <c r="AM8" s="1562"/>
      <c r="AN8" s="1562"/>
      <c r="AO8" s="1862"/>
      <c r="AP8" s="1078"/>
      <c r="AQ8" s="806"/>
      <c r="AR8" s="1563"/>
      <c r="AS8" s="1563"/>
      <c r="AT8" s="1862"/>
      <c r="AU8" s="1044"/>
      <c r="AV8" s="1563"/>
      <c r="AW8" s="1862"/>
      <c r="AX8" s="806"/>
      <c r="AY8" s="677"/>
      <c r="AZ8" s="1580"/>
      <c r="BA8" s="1580"/>
      <c r="BB8" s="806"/>
      <c r="BC8" s="806"/>
      <c r="BD8" s="1784"/>
      <c r="BE8" s="1563"/>
      <c r="BF8" s="1862"/>
      <c r="BG8" s="1563"/>
      <c r="BH8" s="1862"/>
      <c r="BI8" s="1438"/>
      <c r="BJ8" s="1563"/>
      <c r="BK8" s="1862"/>
      <c r="BL8" s="1862"/>
      <c r="BM8" s="1438"/>
      <c r="BN8" s="1563"/>
      <c r="BO8" s="1862"/>
      <c r="BP8" s="1438"/>
      <c r="BQ8" s="1563"/>
      <c r="BR8" s="1862"/>
      <c r="BS8" s="1438"/>
      <c r="BT8" s="1438"/>
      <c r="BU8" s="1563"/>
      <c r="BV8" s="1862"/>
      <c r="BW8" s="1438"/>
      <c r="BX8" s="1438"/>
      <c r="BY8" s="1438"/>
      <c r="BZ8" s="1438"/>
      <c r="CA8" s="1438"/>
      <c r="CB8" s="1563"/>
      <c r="CC8" s="1862"/>
      <c r="CD8" s="806"/>
      <c r="CE8" s="806"/>
      <c r="CF8" s="806"/>
      <c r="CG8" s="1438"/>
      <c r="CH8" s="1438"/>
      <c r="CI8" s="1934"/>
      <c r="CJ8" s="1934"/>
      <c r="CK8" s="1934"/>
      <c r="CL8" s="1934"/>
      <c r="CM8" s="1934"/>
      <c r="CN8" s="1934"/>
      <c r="CO8" s="1934"/>
      <c r="CP8" s="1934"/>
      <c r="CQ8" s="1934"/>
    </row>
    <row r="9" spans="1:95" ht="29.25" customHeight="1">
      <c r="A9" s="2959"/>
      <c r="B9" s="2959"/>
      <c r="C9" s="1438"/>
      <c r="D9" s="2959"/>
      <c r="E9" s="2536"/>
      <c r="F9" s="1438"/>
      <c r="G9" s="1866" t="s">
        <v>2614</v>
      </c>
      <c r="H9" s="1473" t="s">
        <v>2615</v>
      </c>
      <c r="I9" s="1876" t="s">
        <v>2616</v>
      </c>
      <c r="J9" s="1866" t="s">
        <v>2614</v>
      </c>
      <c r="K9" s="1473" t="s">
        <v>2615</v>
      </c>
      <c r="L9" s="1876" t="s">
        <v>2616</v>
      </c>
      <c r="M9" s="1866" t="s">
        <v>2614</v>
      </c>
      <c r="N9" s="1473" t="s">
        <v>2615</v>
      </c>
      <c r="O9" s="1876" t="s">
        <v>2616</v>
      </c>
      <c r="P9" s="1866" t="s">
        <v>2614</v>
      </c>
      <c r="Q9" s="1473" t="s">
        <v>2615</v>
      </c>
      <c r="R9" s="1876" t="s">
        <v>2616</v>
      </c>
      <c r="S9" s="1866" t="s">
        <v>2614</v>
      </c>
      <c r="T9" s="1473" t="s">
        <v>2615</v>
      </c>
      <c r="U9" s="1472" t="s">
        <v>2616</v>
      </c>
      <c r="V9" s="1438"/>
      <c r="W9" s="1916" t="s">
        <v>1054</v>
      </c>
      <c r="X9" s="1438"/>
      <c r="Y9" s="1926"/>
      <c r="Z9" s="1935"/>
      <c r="AA9" s="1925" t="s">
        <v>1054</v>
      </c>
      <c r="AB9" s="1591" t="s">
        <v>1054</v>
      </c>
      <c r="AC9" s="1936" t="s">
        <v>1766</v>
      </c>
      <c r="AD9" s="1935" t="s">
        <v>1767</v>
      </c>
      <c r="AE9" s="1438"/>
      <c r="AF9" s="1438"/>
      <c r="AG9" s="1926" t="s">
        <v>2617</v>
      </c>
      <c r="AH9" s="1926" t="s">
        <v>2618</v>
      </c>
      <c r="AI9" s="1926" t="s">
        <v>2619</v>
      </c>
      <c r="AJ9" s="1926" t="s">
        <v>2620</v>
      </c>
      <c r="AK9" s="1926" t="s">
        <v>2621</v>
      </c>
      <c r="AL9" s="1926" t="s">
        <v>2622</v>
      </c>
      <c r="AM9" s="1926" t="s">
        <v>1424</v>
      </c>
      <c r="AN9" s="1926" t="s">
        <v>2623</v>
      </c>
      <c r="AO9" s="1926" t="s">
        <v>2624</v>
      </c>
      <c r="AP9" s="1926"/>
      <c r="AQ9" s="1935"/>
      <c r="AR9" s="1924" t="s">
        <v>1054</v>
      </c>
      <c r="AS9" s="1923" t="s">
        <v>1766</v>
      </c>
      <c r="AT9" s="1923" t="s">
        <v>1767</v>
      </c>
      <c r="AU9" s="1864"/>
      <c r="AV9" s="1438" t="s">
        <v>2625</v>
      </c>
      <c r="AW9" s="1438" t="s">
        <v>2626</v>
      </c>
      <c r="AX9" s="1438"/>
      <c r="AY9" s="1864"/>
      <c r="AZ9" s="1599" t="s">
        <v>1766</v>
      </c>
      <c r="BA9" s="1875" t="s">
        <v>1767</v>
      </c>
      <c r="BB9" s="1438"/>
      <c r="BC9" s="1438"/>
      <c r="BD9" s="1937"/>
      <c r="BE9" s="1593" t="s">
        <v>2428</v>
      </c>
      <c r="BF9" s="1593" t="s">
        <v>2526</v>
      </c>
      <c r="BG9" s="1593" t="s">
        <v>2428</v>
      </c>
      <c r="BH9" s="1593" t="s">
        <v>2526</v>
      </c>
      <c r="BI9" s="1926"/>
      <c r="BJ9" s="1593" t="s">
        <v>2428</v>
      </c>
      <c r="BK9" s="1593" t="s">
        <v>2526</v>
      </c>
      <c r="BL9" s="1922" t="s">
        <v>2627</v>
      </c>
      <c r="BM9" s="1924"/>
      <c r="BN9" s="1923" t="s">
        <v>2628</v>
      </c>
      <c r="BO9" s="1923" t="s">
        <v>2629</v>
      </c>
      <c r="BP9" s="1438"/>
      <c r="BQ9" s="1438" t="s">
        <v>2428</v>
      </c>
      <c r="BR9" s="1438" t="s">
        <v>2526</v>
      </c>
      <c r="BS9" s="1438"/>
      <c r="BT9" s="1438"/>
      <c r="BU9" s="1926" t="s">
        <v>2628</v>
      </c>
      <c r="BV9" s="1926" t="s">
        <v>2629</v>
      </c>
      <c r="BW9" s="1563"/>
      <c r="BX9" s="1563"/>
      <c r="BY9" s="1923"/>
      <c r="BZ9" s="1864"/>
      <c r="CA9" s="1775"/>
      <c r="CB9" s="1438" t="s">
        <v>1766</v>
      </c>
      <c r="CC9" s="1563" t="s">
        <v>1767</v>
      </c>
      <c r="CD9" s="1864"/>
      <c r="CE9" s="1865"/>
      <c r="CF9" s="1865"/>
      <c r="CG9" s="1938" t="s">
        <v>1054</v>
      </c>
      <c r="CH9" s="1939" t="s">
        <v>1054</v>
      </c>
      <c r="CI9" s="1750"/>
      <c r="CJ9" s="1750"/>
      <c r="CK9" s="1750"/>
      <c r="CL9" s="1750"/>
      <c r="CM9" s="1750"/>
      <c r="CN9" s="1750"/>
      <c r="CO9" s="1750"/>
      <c r="CP9" s="1750"/>
      <c r="CQ9" s="1750"/>
    </row>
    <row r="10" spans="1:95" s="659" customFormat="1" ht="27">
      <c r="A10" s="1473" t="s">
        <v>2630</v>
      </c>
      <c r="B10" s="1473" t="s">
        <v>420</v>
      </c>
      <c r="C10" s="1935" t="s">
        <v>420</v>
      </c>
      <c r="D10" s="1473" t="s">
        <v>425</v>
      </c>
      <c r="E10" s="1867" t="s">
        <v>2443</v>
      </c>
      <c r="F10" s="1935" t="s">
        <v>2443</v>
      </c>
      <c r="G10" s="1473" t="s">
        <v>425</v>
      </c>
      <c r="H10" s="1473" t="s">
        <v>2443</v>
      </c>
      <c r="I10" s="1473" t="s">
        <v>420</v>
      </c>
      <c r="J10" s="1473" t="s">
        <v>425</v>
      </c>
      <c r="K10" s="1473" t="s">
        <v>2443</v>
      </c>
      <c r="L10" s="1473" t="s">
        <v>420</v>
      </c>
      <c r="M10" s="1473" t="s">
        <v>425</v>
      </c>
      <c r="N10" s="1473" t="s">
        <v>2443</v>
      </c>
      <c r="O10" s="1473" t="s">
        <v>420</v>
      </c>
      <c r="P10" s="1473" t="s">
        <v>425</v>
      </c>
      <c r="Q10" s="1473" t="s">
        <v>2443</v>
      </c>
      <c r="R10" s="1473" t="s">
        <v>420</v>
      </c>
      <c r="S10" s="1473" t="s">
        <v>425</v>
      </c>
      <c r="T10" s="1473" t="s">
        <v>2443</v>
      </c>
      <c r="U10" s="1473" t="s">
        <v>420</v>
      </c>
      <c r="V10" s="1935" t="s">
        <v>426</v>
      </c>
      <c r="W10" s="1473" t="s">
        <v>428</v>
      </c>
      <c r="X10" s="1935" t="s">
        <v>426</v>
      </c>
      <c r="Y10" s="1591" t="s">
        <v>187</v>
      </c>
      <c r="Z10" s="1473" t="s">
        <v>2529</v>
      </c>
      <c r="AA10" s="1473" t="s">
        <v>428</v>
      </c>
      <c r="AB10" s="1473" t="s">
        <v>428</v>
      </c>
      <c r="AC10" s="1473" t="s">
        <v>187</v>
      </c>
      <c r="AD10" s="1473" t="s">
        <v>187</v>
      </c>
      <c r="AE10" s="1591" t="s">
        <v>420</v>
      </c>
      <c r="AF10" s="1591" t="s">
        <v>187</v>
      </c>
      <c r="AG10" s="1473" t="s">
        <v>426</v>
      </c>
      <c r="AH10" s="1473" t="s">
        <v>426</v>
      </c>
      <c r="AI10" s="1473" t="s">
        <v>426</v>
      </c>
      <c r="AJ10" s="1473" t="s">
        <v>426</v>
      </c>
      <c r="AK10" s="1473" t="s">
        <v>426</v>
      </c>
      <c r="AL10" s="1473" t="s">
        <v>426</v>
      </c>
      <c r="AM10" s="1473" t="s">
        <v>426</v>
      </c>
      <c r="AN10" s="1473" t="s">
        <v>426</v>
      </c>
      <c r="AO10" s="1473" t="s">
        <v>426</v>
      </c>
      <c r="AP10" s="1591" t="s">
        <v>420</v>
      </c>
      <c r="AQ10" s="1935" t="s">
        <v>420</v>
      </c>
      <c r="AR10" s="1940" t="s">
        <v>428</v>
      </c>
      <c r="AS10" s="1940" t="s">
        <v>187</v>
      </c>
      <c r="AT10" s="1940" t="s">
        <v>187</v>
      </c>
      <c r="AU10" s="1591" t="s">
        <v>420</v>
      </c>
      <c r="AV10" s="1940" t="s">
        <v>428</v>
      </c>
      <c r="AW10" s="1940" t="s">
        <v>428</v>
      </c>
      <c r="AX10" s="1591" t="s">
        <v>420</v>
      </c>
      <c r="AY10" s="1591" t="s">
        <v>428</v>
      </c>
      <c r="AZ10" s="1940" t="s">
        <v>187</v>
      </c>
      <c r="BA10" s="1940" t="s">
        <v>187</v>
      </c>
      <c r="BB10" s="1591" t="s">
        <v>420</v>
      </c>
      <c r="BC10" s="1591" t="s">
        <v>2443</v>
      </c>
      <c r="BD10" s="1940" t="s">
        <v>2443</v>
      </c>
      <c r="BE10" s="1940" t="s">
        <v>2443</v>
      </c>
      <c r="BF10" s="1940" t="s">
        <v>420</v>
      </c>
      <c r="BG10" s="1940" t="s">
        <v>2443</v>
      </c>
      <c r="BH10" s="1940" t="s">
        <v>420</v>
      </c>
      <c r="BI10" s="1940" t="s">
        <v>420</v>
      </c>
      <c r="BJ10" s="1940" t="s">
        <v>2443</v>
      </c>
      <c r="BK10" s="1940" t="s">
        <v>420</v>
      </c>
      <c r="BL10" s="1940" t="s">
        <v>774</v>
      </c>
      <c r="BM10" s="1940" t="s">
        <v>428</v>
      </c>
      <c r="BN10" s="1940" t="s">
        <v>187</v>
      </c>
      <c r="BO10" s="1940" t="s">
        <v>187</v>
      </c>
      <c r="BP10" s="1940" t="s">
        <v>420</v>
      </c>
      <c r="BQ10" s="1473" t="s">
        <v>2443</v>
      </c>
      <c r="BR10" s="1473" t="s">
        <v>420</v>
      </c>
      <c r="BS10" s="1940" t="s">
        <v>420</v>
      </c>
      <c r="BT10" s="1940" t="s">
        <v>2631</v>
      </c>
      <c r="BU10" s="1940" t="s">
        <v>2632</v>
      </c>
      <c r="BV10" s="1940" t="s">
        <v>2632</v>
      </c>
      <c r="BW10" s="1861" t="s">
        <v>420</v>
      </c>
      <c r="BX10" s="1591" t="s">
        <v>426</v>
      </c>
      <c r="BY10" s="1591" t="s">
        <v>426</v>
      </c>
      <c r="BZ10" s="1591" t="s">
        <v>426</v>
      </c>
      <c r="CA10" s="1940" t="s">
        <v>428</v>
      </c>
      <c r="CB10" s="1940" t="s">
        <v>1106</v>
      </c>
      <c r="CC10" s="1473" t="s">
        <v>1106</v>
      </c>
      <c r="CD10" s="1935" t="s">
        <v>426</v>
      </c>
      <c r="CE10" s="1941" t="s">
        <v>420</v>
      </c>
      <c r="CF10" s="1591" t="s">
        <v>426</v>
      </c>
      <c r="CG10" s="1941" t="s">
        <v>428</v>
      </c>
      <c r="CH10" s="1941" t="s">
        <v>428</v>
      </c>
      <c r="CI10" s="1941" t="s">
        <v>420</v>
      </c>
      <c r="CJ10" s="1941" t="s">
        <v>426</v>
      </c>
      <c r="CK10" s="1941" t="s">
        <v>428</v>
      </c>
      <c r="CL10" s="1941" t="s">
        <v>420</v>
      </c>
      <c r="CM10" s="1941" t="s">
        <v>428</v>
      </c>
      <c r="CN10" s="1941" t="s">
        <v>420</v>
      </c>
      <c r="CO10" s="1941" t="s">
        <v>428</v>
      </c>
      <c r="CP10" s="1941" t="s">
        <v>420</v>
      </c>
      <c r="CQ10" s="1941" t="s">
        <v>428</v>
      </c>
    </row>
    <row r="11" spans="1:95" ht="20.100000000000001" customHeight="1">
      <c r="A11" s="1860" t="s">
        <v>2633</v>
      </c>
      <c r="B11" s="1940"/>
      <c r="C11" s="1473"/>
      <c r="D11" s="1940"/>
      <c r="E11" s="1473"/>
      <c r="F11" s="1473"/>
      <c r="G11" s="1473"/>
      <c r="H11" s="1473"/>
      <c r="I11" s="1473"/>
      <c r="J11" s="1473"/>
      <c r="K11" s="1473"/>
      <c r="L11" s="1473"/>
      <c r="M11" s="1473"/>
      <c r="N11" s="1473"/>
      <c r="O11" s="1473"/>
      <c r="P11" s="1473"/>
      <c r="Q11" s="1473"/>
      <c r="R11" s="1473"/>
      <c r="S11" s="1473"/>
      <c r="T11" s="1473"/>
      <c r="U11" s="1473"/>
      <c r="V11" s="1473"/>
      <c r="W11" s="1473"/>
      <c r="X11" s="1473"/>
      <c r="Y11" s="1917"/>
      <c r="Z11" s="1473"/>
      <c r="AA11" s="1473"/>
      <c r="AB11" s="1473"/>
      <c r="AC11" s="1473"/>
      <c r="AD11" s="1473"/>
      <c r="AE11" s="1860"/>
      <c r="AF11" s="1860"/>
      <c r="AG11" s="1917"/>
      <c r="AH11" s="1473"/>
      <c r="AI11" s="1473"/>
      <c r="AJ11" s="1473"/>
      <c r="AK11" s="1917"/>
      <c r="AL11" s="1917"/>
      <c r="AM11" s="1917"/>
      <c r="AN11" s="1917"/>
      <c r="AO11" s="1917"/>
      <c r="AP11" s="1917"/>
      <c r="AQ11" s="1473"/>
      <c r="AR11" s="1917"/>
      <c r="AS11" s="1917"/>
      <c r="AT11" s="1917"/>
      <c r="AU11" s="1917"/>
      <c r="AV11" s="1917"/>
      <c r="AW11" s="1917"/>
      <c r="AX11" s="1917"/>
      <c r="AY11" s="1917"/>
      <c r="AZ11" s="1917"/>
      <c r="BA11" s="1917"/>
      <c r="BB11" s="1405"/>
      <c r="BC11" s="1405"/>
      <c r="BD11" s="1405"/>
      <c r="BE11" s="1405"/>
      <c r="BF11" s="1405"/>
      <c r="BG11" s="1405"/>
      <c r="BH11" s="1405"/>
      <c r="BI11" s="1405"/>
      <c r="BJ11" s="1405"/>
      <c r="BK11" s="1405"/>
      <c r="BL11" s="1405"/>
      <c r="BM11" s="1405"/>
      <c r="BN11" s="1405"/>
      <c r="BO11" s="1405"/>
      <c r="BP11" s="1405"/>
      <c r="BQ11" s="1405"/>
      <c r="BR11" s="1405"/>
      <c r="BS11" s="1405"/>
      <c r="BT11" s="1405"/>
      <c r="BU11" s="1405"/>
      <c r="BV11" s="1405"/>
      <c r="BW11" s="1066"/>
      <c r="BX11" s="1066"/>
      <c r="BY11" s="1066"/>
      <c r="BZ11" s="1066"/>
      <c r="CA11" s="1066"/>
      <c r="CB11" s="1066"/>
      <c r="CC11" s="1810"/>
      <c r="CD11" s="1810"/>
      <c r="CE11" s="1810"/>
      <c r="CF11" s="1810"/>
      <c r="CG11" s="1810"/>
      <c r="CH11" s="1810"/>
      <c r="CI11" s="1810"/>
      <c r="CJ11" s="1810"/>
      <c r="CK11" s="1810"/>
      <c r="CL11" s="1810"/>
      <c r="CM11" s="1810"/>
      <c r="CN11" s="1810"/>
      <c r="CO11" s="1810"/>
      <c r="CP11" s="1810"/>
      <c r="CQ11" s="1810"/>
    </row>
    <row r="12" spans="1:95" ht="20.100000000000001" customHeight="1">
      <c r="A12" s="1860" t="s">
        <v>2634</v>
      </c>
      <c r="B12" s="1940"/>
      <c r="C12" s="1473"/>
      <c r="D12" s="1940"/>
      <c r="E12" s="1473"/>
      <c r="F12" s="1473"/>
      <c r="G12" s="1473"/>
      <c r="H12" s="1473"/>
      <c r="I12" s="1473"/>
      <c r="J12" s="1473"/>
      <c r="K12" s="1473"/>
      <c r="L12" s="1473"/>
      <c r="M12" s="1473"/>
      <c r="N12" s="1473"/>
      <c r="O12" s="1473"/>
      <c r="P12" s="1473"/>
      <c r="Q12" s="1473"/>
      <c r="R12" s="1473"/>
      <c r="S12" s="1473"/>
      <c r="T12" s="1473"/>
      <c r="U12" s="1473"/>
      <c r="V12" s="1473"/>
      <c r="W12" s="1473"/>
      <c r="X12" s="1473"/>
      <c r="Y12" s="1917"/>
      <c r="Z12" s="1473"/>
      <c r="AA12" s="1473"/>
      <c r="AB12" s="1473"/>
      <c r="AC12" s="1473"/>
      <c r="AD12" s="1473"/>
      <c r="AE12" s="1860"/>
      <c r="AF12" s="1860"/>
      <c r="AG12" s="1917"/>
      <c r="AH12" s="1473"/>
      <c r="AI12" s="1473"/>
      <c r="AJ12" s="1473"/>
      <c r="AK12" s="1917"/>
      <c r="AL12" s="1917"/>
      <c r="AM12" s="1917"/>
      <c r="AN12" s="1917"/>
      <c r="AO12" s="1917"/>
      <c r="AP12" s="1917"/>
      <c r="AQ12" s="1473"/>
      <c r="AR12" s="1917"/>
      <c r="AS12" s="1917"/>
      <c r="AT12" s="1917"/>
      <c r="AU12" s="1917"/>
      <c r="AV12" s="1917"/>
      <c r="AW12" s="1917"/>
      <c r="AX12" s="1917"/>
      <c r="AY12" s="1917"/>
      <c r="AZ12" s="1917"/>
      <c r="BA12" s="1917"/>
      <c r="BB12" s="1405"/>
      <c r="BC12" s="1405"/>
      <c r="BD12" s="1405"/>
      <c r="BE12" s="1405"/>
      <c r="BF12" s="1405"/>
      <c r="BG12" s="1405"/>
      <c r="BH12" s="1405"/>
      <c r="BI12" s="1405"/>
      <c r="BJ12" s="1405"/>
      <c r="BK12" s="1405"/>
      <c r="BL12" s="1405"/>
      <c r="BM12" s="1405"/>
      <c r="BN12" s="1405"/>
      <c r="BO12" s="1405"/>
      <c r="BP12" s="1405"/>
      <c r="BQ12" s="1405"/>
      <c r="BR12" s="1405"/>
      <c r="BS12" s="1405"/>
      <c r="BT12" s="1405"/>
      <c r="BU12" s="1405"/>
      <c r="BV12" s="1405"/>
      <c r="BW12" s="1066"/>
      <c r="BX12" s="1066"/>
      <c r="BY12" s="1066"/>
      <c r="BZ12" s="1066"/>
      <c r="CA12" s="1066"/>
      <c r="CB12" s="1066"/>
      <c r="CC12" s="1810"/>
      <c r="CD12" s="1810"/>
      <c r="CE12" s="1810"/>
      <c r="CF12" s="1810"/>
      <c r="CG12" s="1810"/>
      <c r="CH12" s="1810"/>
      <c r="CI12" s="1810"/>
      <c r="CJ12" s="1810"/>
      <c r="CK12" s="1810"/>
      <c r="CL12" s="1810"/>
      <c r="CM12" s="1810"/>
      <c r="CN12" s="1810"/>
      <c r="CO12" s="1810"/>
      <c r="CP12" s="1810"/>
      <c r="CQ12" s="1810"/>
    </row>
    <row r="13" spans="1:95" ht="20.100000000000001" customHeight="1">
      <c r="A13" s="1942" t="s">
        <v>2635</v>
      </c>
      <c r="B13" s="1473"/>
      <c r="C13" s="1473"/>
      <c r="D13" s="1473"/>
      <c r="E13" s="1473"/>
      <c r="F13" s="1473"/>
      <c r="G13" s="1473"/>
      <c r="H13" s="1473"/>
      <c r="I13" s="1473"/>
      <c r="J13" s="1473"/>
      <c r="K13" s="1473"/>
      <c r="L13" s="1473"/>
      <c r="M13" s="1473"/>
      <c r="N13" s="1473"/>
      <c r="O13" s="1473"/>
      <c r="P13" s="1473"/>
      <c r="Q13" s="1473"/>
      <c r="R13" s="1473"/>
      <c r="S13" s="1473"/>
      <c r="T13" s="1473"/>
      <c r="U13" s="1473"/>
      <c r="V13" s="1473"/>
      <c r="W13" s="1473"/>
      <c r="X13" s="1473"/>
      <c r="Y13" s="1405"/>
      <c r="Z13" s="1473"/>
      <c r="AA13" s="1473"/>
      <c r="AB13" s="1473"/>
      <c r="AC13" s="1473"/>
      <c r="AD13" s="1473"/>
      <c r="AE13" s="1473"/>
      <c r="AF13" s="1473"/>
      <c r="AG13" s="1473"/>
      <c r="AH13" s="1473"/>
      <c r="AI13" s="1473"/>
      <c r="AJ13" s="1473"/>
      <c r="AK13" s="1473"/>
      <c r="AL13" s="1473"/>
      <c r="AM13" s="1473"/>
      <c r="AN13" s="1473"/>
      <c r="AO13" s="1473"/>
      <c r="AP13" s="1405"/>
      <c r="AQ13" s="1473"/>
      <c r="AR13" s="1405"/>
      <c r="AS13" s="1405"/>
      <c r="AT13" s="1405"/>
      <c r="AU13" s="1405"/>
      <c r="AV13" s="1405"/>
      <c r="AW13" s="1405"/>
      <c r="AX13" s="1405"/>
      <c r="AY13" s="1405"/>
      <c r="AZ13" s="1405"/>
      <c r="BA13" s="1405"/>
      <c r="BB13" s="1405"/>
      <c r="BC13" s="1405"/>
      <c r="BD13" s="1405"/>
      <c r="BE13" s="1405"/>
      <c r="BF13" s="1405"/>
      <c r="BG13" s="1405"/>
      <c r="BH13" s="1405"/>
      <c r="BI13" s="1405"/>
      <c r="BJ13" s="1405"/>
      <c r="BK13" s="1405"/>
      <c r="BL13" s="1405"/>
      <c r="BM13" s="1405"/>
      <c r="BN13" s="1405"/>
      <c r="BO13" s="1405"/>
      <c r="BP13" s="1405"/>
      <c r="BQ13" s="1405"/>
      <c r="BR13" s="1405"/>
      <c r="BS13" s="1405"/>
      <c r="BT13" s="1405"/>
      <c r="BU13" s="1405"/>
      <c r="BV13" s="1405"/>
      <c r="BW13" s="1066"/>
      <c r="BX13" s="1066"/>
      <c r="BY13" s="1066"/>
      <c r="BZ13" s="1405"/>
      <c r="CA13" s="1405"/>
      <c r="CB13" s="1405"/>
      <c r="CC13" s="1810"/>
      <c r="CD13" s="1810"/>
      <c r="CE13" s="1810"/>
      <c r="CF13" s="1810"/>
      <c r="CG13" s="1810"/>
      <c r="CH13" s="1810"/>
      <c r="CI13" s="1810"/>
      <c r="CJ13" s="1810"/>
      <c r="CK13" s="1810"/>
      <c r="CL13" s="1810"/>
      <c r="CM13" s="1810"/>
      <c r="CN13" s="1810"/>
      <c r="CO13" s="1810"/>
      <c r="CP13" s="1810"/>
      <c r="CQ13" s="1810"/>
    </row>
    <row r="14" spans="1:95" ht="20.100000000000001" customHeight="1">
      <c r="A14" s="1942" t="s">
        <v>2636</v>
      </c>
      <c r="B14" s="1473"/>
      <c r="C14" s="1473"/>
      <c r="D14" s="1473"/>
      <c r="E14" s="1473"/>
      <c r="F14" s="1473"/>
      <c r="G14" s="1473"/>
      <c r="H14" s="1473"/>
      <c r="I14" s="1473"/>
      <c r="J14" s="1473"/>
      <c r="K14" s="1473"/>
      <c r="L14" s="1473"/>
      <c r="M14" s="1473"/>
      <c r="N14" s="1473"/>
      <c r="O14" s="1473"/>
      <c r="P14" s="1473"/>
      <c r="Q14" s="1473"/>
      <c r="R14" s="1473"/>
      <c r="S14" s="1473"/>
      <c r="T14" s="1473"/>
      <c r="U14" s="1473"/>
      <c r="V14" s="1473"/>
      <c r="W14" s="1473"/>
      <c r="X14" s="1473"/>
      <c r="Y14" s="1405"/>
      <c r="Z14" s="1473"/>
      <c r="AA14" s="1473"/>
      <c r="AB14" s="1473"/>
      <c r="AC14" s="1473"/>
      <c r="AD14" s="1473"/>
      <c r="AE14" s="1473"/>
      <c r="AF14" s="1473"/>
      <c r="AG14" s="1473"/>
      <c r="AH14" s="1473"/>
      <c r="AI14" s="1473"/>
      <c r="AJ14" s="1473"/>
      <c r="AK14" s="1473"/>
      <c r="AL14" s="1473"/>
      <c r="AM14" s="1473"/>
      <c r="AN14" s="1473"/>
      <c r="AO14" s="1473"/>
      <c r="AP14" s="1405"/>
      <c r="AQ14" s="1473"/>
      <c r="AR14" s="1405"/>
      <c r="AS14" s="1405"/>
      <c r="AT14" s="1405"/>
      <c r="AU14" s="1405"/>
      <c r="AV14" s="1405"/>
      <c r="AW14" s="1405"/>
      <c r="AX14" s="1405"/>
      <c r="AY14" s="1405"/>
      <c r="AZ14" s="1405"/>
      <c r="BA14" s="1405"/>
      <c r="BB14" s="1405"/>
      <c r="BC14" s="1405"/>
      <c r="BD14" s="1405"/>
      <c r="BE14" s="1405"/>
      <c r="BF14" s="1405"/>
      <c r="BG14" s="1405"/>
      <c r="BH14" s="1405"/>
      <c r="BI14" s="1405"/>
      <c r="BJ14" s="1405"/>
      <c r="BK14" s="1405"/>
      <c r="BL14" s="1405"/>
      <c r="BM14" s="1405"/>
      <c r="BN14" s="1405"/>
      <c r="BO14" s="1405"/>
      <c r="BP14" s="1405"/>
      <c r="BQ14" s="1405"/>
      <c r="BR14" s="1405"/>
      <c r="BS14" s="1405"/>
      <c r="BT14" s="1405"/>
      <c r="BU14" s="1405"/>
      <c r="BV14" s="1405"/>
      <c r="BW14" s="770"/>
      <c r="BX14" s="770"/>
      <c r="BY14" s="770"/>
      <c r="BZ14" s="770"/>
      <c r="CA14" s="770"/>
      <c r="CB14" s="770"/>
      <c r="CC14" s="770"/>
      <c r="CD14" s="770"/>
      <c r="CE14" s="1810"/>
      <c r="CF14" s="1810"/>
      <c r="CG14" s="1810"/>
      <c r="CH14" s="1810"/>
      <c r="CI14" s="1810"/>
      <c r="CJ14" s="1810"/>
      <c r="CK14" s="1810"/>
      <c r="CL14" s="1810"/>
      <c r="CM14" s="1810"/>
      <c r="CN14" s="1810"/>
      <c r="CO14" s="1810"/>
      <c r="CP14" s="1810"/>
      <c r="CQ14" s="1810"/>
    </row>
    <row r="15" spans="1:95" ht="20.100000000000001" customHeight="1">
      <c r="A15" s="1902" t="s">
        <v>2637</v>
      </c>
      <c r="B15" s="1943"/>
      <c r="C15" s="1473"/>
      <c r="D15" s="1943"/>
      <c r="E15" s="1473"/>
      <c r="F15" s="1473"/>
      <c r="G15" s="1473"/>
      <c r="H15" s="1473"/>
      <c r="I15" s="1473"/>
      <c r="J15" s="1473"/>
      <c r="K15" s="1473"/>
      <c r="L15" s="1473"/>
      <c r="M15" s="1473"/>
      <c r="N15" s="1473"/>
      <c r="O15" s="1473"/>
      <c r="P15" s="1473"/>
      <c r="Q15" s="1473"/>
      <c r="R15" s="1473"/>
      <c r="S15" s="1473"/>
      <c r="T15" s="1473"/>
      <c r="U15" s="1473"/>
      <c r="V15" s="1473"/>
      <c r="W15" s="1473"/>
      <c r="X15" s="1473"/>
      <c r="Y15" s="1405"/>
      <c r="Z15" s="1473"/>
      <c r="AA15" s="1473"/>
      <c r="AB15" s="1473"/>
      <c r="AC15" s="1473"/>
      <c r="AD15" s="1473"/>
      <c r="AE15" s="1473"/>
      <c r="AF15" s="1473"/>
      <c r="AG15" s="1473"/>
      <c r="AH15" s="1473"/>
      <c r="AI15" s="1473"/>
      <c r="AJ15" s="1473"/>
      <c r="AK15" s="1473"/>
      <c r="AL15" s="1473"/>
      <c r="AM15" s="1473"/>
      <c r="AN15" s="1473"/>
      <c r="AO15" s="1473"/>
      <c r="AP15" s="1405"/>
      <c r="AQ15" s="1473"/>
      <c r="AR15" s="1405"/>
      <c r="AS15" s="1405"/>
      <c r="AT15" s="1405"/>
      <c r="AU15" s="1405"/>
      <c r="AV15" s="1405"/>
      <c r="AW15" s="1405"/>
      <c r="AX15" s="770"/>
      <c r="AY15" s="770"/>
      <c r="AZ15" s="770"/>
      <c r="BA15" s="770"/>
      <c r="BB15" s="770"/>
      <c r="BC15" s="770"/>
      <c r="BD15" s="770"/>
      <c r="BE15" s="770"/>
      <c r="BF15" s="770"/>
      <c r="BG15" s="770"/>
      <c r="BH15" s="770"/>
      <c r="BI15" s="770"/>
      <c r="BJ15" s="770"/>
      <c r="BK15" s="770"/>
      <c r="BL15" s="770"/>
      <c r="BM15" s="770"/>
      <c r="BN15" s="770"/>
      <c r="BO15" s="770"/>
      <c r="BP15" s="770"/>
      <c r="BQ15" s="770"/>
      <c r="BR15" s="770"/>
      <c r="BS15" s="770"/>
      <c r="BT15" s="770"/>
      <c r="BU15" s="770"/>
      <c r="BV15" s="770"/>
      <c r="BW15" s="770"/>
      <c r="BX15" s="770"/>
      <c r="BY15" s="770"/>
      <c r="BZ15" s="770"/>
      <c r="CA15" s="770"/>
      <c r="CB15" s="770"/>
      <c r="CC15" s="770"/>
      <c r="CD15" s="770"/>
      <c r="CE15" s="1810"/>
      <c r="CF15" s="1810"/>
      <c r="CG15" s="1810"/>
      <c r="CH15" s="1810"/>
      <c r="CI15" s="1810"/>
      <c r="CJ15" s="1810"/>
      <c r="CK15" s="1810"/>
      <c r="CL15" s="1810"/>
      <c r="CM15" s="1810"/>
      <c r="CN15" s="1810"/>
      <c r="CO15" s="1810"/>
      <c r="CP15" s="1810"/>
      <c r="CQ15" s="1810"/>
    </row>
    <row r="16" spans="1:95" ht="20.100000000000001" customHeight="1">
      <c r="A16" s="1902" t="s">
        <v>2638</v>
      </c>
      <c r="B16" s="1943"/>
      <c r="C16" s="1473"/>
      <c r="D16" s="1943"/>
      <c r="E16" s="1473"/>
      <c r="F16" s="1473"/>
      <c r="G16" s="1473"/>
      <c r="H16" s="1473"/>
      <c r="I16" s="1473"/>
      <c r="J16" s="1473"/>
      <c r="K16" s="1473"/>
      <c r="L16" s="1473"/>
      <c r="M16" s="1473"/>
      <c r="N16" s="1473"/>
      <c r="O16" s="1473"/>
      <c r="P16" s="1473"/>
      <c r="Q16" s="1473"/>
      <c r="R16" s="1473"/>
      <c r="S16" s="1473"/>
      <c r="T16" s="1473"/>
      <c r="U16" s="1473"/>
      <c r="V16" s="1473"/>
      <c r="W16" s="1473"/>
      <c r="X16" s="1473"/>
      <c r="Y16" s="1405"/>
      <c r="Z16" s="1473"/>
      <c r="AA16" s="1473"/>
      <c r="AB16" s="1473"/>
      <c r="AC16" s="1473"/>
      <c r="AD16" s="1473"/>
      <c r="AE16" s="1473"/>
      <c r="AF16" s="1473"/>
      <c r="AG16" s="1473"/>
      <c r="AH16" s="1473"/>
      <c r="AI16" s="1473"/>
      <c r="AJ16" s="1473"/>
      <c r="AK16" s="1473"/>
      <c r="AL16" s="1473"/>
      <c r="AM16" s="1473"/>
      <c r="AN16" s="1473"/>
      <c r="AO16" s="1473"/>
      <c r="AP16" s="1405"/>
      <c r="AQ16" s="1473"/>
      <c r="AR16" s="1405"/>
      <c r="AS16" s="1405"/>
      <c r="AT16" s="1405"/>
      <c r="AU16" s="1405"/>
      <c r="AV16" s="1405"/>
      <c r="AW16" s="1405"/>
      <c r="AX16" s="770"/>
      <c r="AY16" s="770"/>
      <c r="AZ16" s="770"/>
      <c r="BA16" s="770"/>
      <c r="BB16" s="770"/>
      <c r="BC16" s="770"/>
      <c r="BD16" s="770"/>
      <c r="BE16" s="770"/>
      <c r="BF16" s="770"/>
      <c r="BG16" s="770"/>
      <c r="BH16" s="770"/>
      <c r="BI16" s="770"/>
      <c r="BJ16" s="770"/>
      <c r="BK16" s="770"/>
      <c r="BL16" s="770"/>
      <c r="BM16" s="770"/>
      <c r="BN16" s="770"/>
      <c r="BO16" s="770"/>
      <c r="BP16" s="770"/>
      <c r="BQ16" s="770"/>
      <c r="BR16" s="770"/>
      <c r="BS16" s="770"/>
      <c r="BT16" s="770"/>
      <c r="BU16" s="770"/>
      <c r="BV16" s="770"/>
      <c r="BW16" s="770"/>
      <c r="BX16" s="770"/>
      <c r="BY16" s="770"/>
      <c r="BZ16" s="770"/>
      <c r="CA16" s="770"/>
      <c r="CB16" s="770"/>
      <c r="CC16" s="770"/>
      <c r="CD16" s="770"/>
      <c r="CE16" s="1810"/>
      <c r="CF16" s="1810"/>
      <c r="CG16" s="1810"/>
      <c r="CH16" s="1810"/>
      <c r="CI16" s="1810"/>
      <c r="CJ16" s="1810"/>
      <c r="CK16" s="1810"/>
      <c r="CL16" s="1810"/>
      <c r="CM16" s="1810"/>
      <c r="CN16" s="1810"/>
      <c r="CO16" s="1810"/>
      <c r="CP16" s="1810"/>
      <c r="CQ16" s="1810"/>
    </row>
    <row r="17" spans="1:95" ht="20.100000000000001" customHeight="1">
      <c r="A17" s="1942" t="s">
        <v>2639</v>
      </c>
      <c r="B17" s="1473"/>
      <c r="C17" s="1473"/>
      <c r="D17" s="1473"/>
      <c r="E17" s="1473"/>
      <c r="F17" s="1473"/>
      <c r="G17" s="1473"/>
      <c r="H17" s="1473"/>
      <c r="I17" s="1473"/>
      <c r="J17" s="1473"/>
      <c r="K17" s="1473"/>
      <c r="L17" s="1473"/>
      <c r="M17" s="1473"/>
      <c r="N17" s="1473"/>
      <c r="O17" s="1473"/>
      <c r="P17" s="1473"/>
      <c r="Q17" s="1473"/>
      <c r="R17" s="1473"/>
      <c r="S17" s="1473"/>
      <c r="T17" s="1473"/>
      <c r="U17" s="1473"/>
      <c r="V17" s="1473"/>
      <c r="W17" s="1473"/>
      <c r="X17" s="1473"/>
      <c r="Y17" s="770"/>
      <c r="Z17" s="1473"/>
      <c r="AA17" s="1473"/>
      <c r="AB17" s="1473"/>
      <c r="AC17" s="1473"/>
      <c r="AD17" s="1473"/>
      <c r="AE17" s="770"/>
      <c r="AF17" s="770"/>
      <c r="AG17" s="770"/>
      <c r="AH17" s="770"/>
      <c r="AI17" s="770"/>
      <c r="AJ17" s="770"/>
      <c r="AK17" s="770"/>
      <c r="AL17" s="770"/>
      <c r="AM17" s="770"/>
      <c r="AN17" s="770"/>
      <c r="AO17" s="770"/>
      <c r="AP17" s="770"/>
      <c r="AQ17" s="1473"/>
      <c r="AR17" s="770"/>
      <c r="AS17" s="770"/>
      <c r="AT17" s="770"/>
      <c r="AU17" s="770"/>
      <c r="AV17" s="770"/>
      <c r="AW17" s="770"/>
      <c r="AX17" s="770"/>
      <c r="AY17" s="770"/>
      <c r="AZ17" s="770"/>
      <c r="BA17" s="770"/>
      <c r="BB17" s="770"/>
      <c r="BC17" s="770"/>
      <c r="BD17" s="770"/>
      <c r="BE17" s="770"/>
      <c r="BF17" s="770"/>
      <c r="BG17" s="770"/>
      <c r="BH17" s="770"/>
      <c r="BI17" s="770"/>
      <c r="BJ17" s="770"/>
      <c r="BK17" s="770"/>
      <c r="BL17" s="770"/>
      <c r="BM17" s="770"/>
      <c r="BN17" s="770"/>
      <c r="BO17" s="770"/>
      <c r="BP17" s="770"/>
      <c r="BQ17" s="770"/>
      <c r="BR17" s="770"/>
      <c r="BS17" s="770"/>
      <c r="BT17" s="770"/>
      <c r="BU17" s="770"/>
      <c r="BV17" s="770"/>
      <c r="BW17" s="770"/>
      <c r="BX17" s="770"/>
      <c r="BY17" s="770"/>
      <c r="BZ17" s="770"/>
      <c r="CA17" s="770"/>
      <c r="CB17" s="770"/>
      <c r="CC17" s="770"/>
      <c r="CD17" s="770"/>
      <c r="CE17" s="1810"/>
      <c r="CF17" s="1810"/>
      <c r="CG17" s="1810"/>
      <c r="CH17" s="1810"/>
      <c r="CI17" s="1810"/>
      <c r="CJ17" s="1810"/>
      <c r="CK17" s="1810"/>
      <c r="CL17" s="1810"/>
      <c r="CM17" s="1810"/>
      <c r="CN17" s="1810"/>
      <c r="CO17" s="1810"/>
      <c r="CP17" s="1810"/>
      <c r="CQ17" s="1810"/>
    </row>
    <row r="18" spans="1:95" ht="20.100000000000001" customHeight="1">
      <c r="A18" s="1942" t="s">
        <v>2640</v>
      </c>
      <c r="B18" s="1473"/>
      <c r="C18" s="1473"/>
      <c r="D18" s="1473"/>
      <c r="E18" s="1473"/>
      <c r="F18" s="1473"/>
      <c r="G18" s="1473"/>
      <c r="H18" s="1473"/>
      <c r="I18" s="1473"/>
      <c r="J18" s="1473"/>
      <c r="K18" s="1473"/>
      <c r="L18" s="1473"/>
      <c r="M18" s="1473"/>
      <c r="N18" s="1473"/>
      <c r="O18" s="1473"/>
      <c r="P18" s="1473"/>
      <c r="Q18" s="1473"/>
      <c r="R18" s="1473"/>
      <c r="S18" s="1473"/>
      <c r="T18" s="1473"/>
      <c r="U18" s="1473"/>
      <c r="V18" s="1473"/>
      <c r="W18" s="1473"/>
      <c r="X18" s="1473"/>
      <c r="Y18" s="770"/>
      <c r="Z18" s="1473"/>
      <c r="AA18" s="1473"/>
      <c r="AB18" s="1473"/>
      <c r="AC18" s="1473"/>
      <c r="AD18" s="1473"/>
      <c r="AE18" s="770"/>
      <c r="AF18" s="770"/>
      <c r="AG18" s="770"/>
      <c r="AH18" s="770"/>
      <c r="AI18" s="770"/>
      <c r="AJ18" s="770"/>
      <c r="AK18" s="770"/>
      <c r="AL18" s="770"/>
      <c r="AM18" s="770"/>
      <c r="AN18" s="770"/>
      <c r="AO18" s="770"/>
      <c r="AP18" s="770"/>
      <c r="AQ18" s="1473"/>
      <c r="AR18" s="770"/>
      <c r="AS18" s="770"/>
      <c r="AT18" s="770"/>
      <c r="AU18" s="770"/>
      <c r="AV18" s="770"/>
      <c r="AW18" s="770"/>
      <c r="AX18" s="770"/>
      <c r="AY18" s="770"/>
      <c r="AZ18" s="770"/>
      <c r="BA18" s="770"/>
      <c r="BB18" s="770"/>
      <c r="BC18" s="770"/>
      <c r="BD18" s="770"/>
      <c r="BE18" s="770"/>
      <c r="BF18" s="770"/>
      <c r="BG18" s="770"/>
      <c r="BH18" s="770"/>
      <c r="BI18" s="770"/>
      <c r="BJ18" s="770"/>
      <c r="BK18" s="770"/>
      <c r="BL18" s="770"/>
      <c r="BM18" s="770"/>
      <c r="BN18" s="770"/>
      <c r="BO18" s="770"/>
      <c r="BP18" s="770"/>
      <c r="BQ18" s="770"/>
      <c r="BR18" s="770"/>
      <c r="BS18" s="770"/>
      <c r="BT18" s="770"/>
      <c r="BU18" s="770"/>
      <c r="BV18" s="770"/>
      <c r="BW18" s="770"/>
      <c r="BX18" s="770"/>
      <c r="BY18" s="770"/>
      <c r="BZ18" s="770"/>
      <c r="CA18" s="770"/>
      <c r="CB18" s="770"/>
      <c r="CC18" s="770"/>
      <c r="CD18" s="770"/>
      <c r="CE18" s="1810"/>
      <c r="CF18" s="1810"/>
      <c r="CG18" s="1810"/>
      <c r="CH18" s="1810"/>
      <c r="CI18" s="1810"/>
      <c r="CJ18" s="1810"/>
      <c r="CK18" s="1810"/>
      <c r="CL18" s="1810"/>
      <c r="CM18" s="1810"/>
      <c r="CN18" s="1810"/>
      <c r="CO18" s="1810"/>
      <c r="CP18" s="1810"/>
      <c r="CQ18" s="1810"/>
    </row>
    <row r="19" spans="1:95" ht="20.100000000000001" customHeight="1">
      <c r="A19" s="1902" t="s">
        <v>2641</v>
      </c>
      <c r="B19" s="1943"/>
      <c r="C19" s="1473"/>
      <c r="D19" s="1943"/>
      <c r="E19" s="1473"/>
      <c r="F19" s="1473"/>
      <c r="G19" s="1473"/>
      <c r="H19" s="1473"/>
      <c r="I19" s="1473"/>
      <c r="J19" s="1473"/>
      <c r="K19" s="1473"/>
      <c r="L19" s="1473"/>
      <c r="M19" s="1473"/>
      <c r="N19" s="1473"/>
      <c r="O19" s="1473"/>
      <c r="P19" s="1473"/>
      <c r="Q19" s="1473"/>
      <c r="R19" s="1473"/>
      <c r="S19" s="1473"/>
      <c r="T19" s="1473"/>
      <c r="U19" s="1473"/>
      <c r="V19" s="1473"/>
      <c r="W19" s="1473"/>
      <c r="X19" s="1473"/>
      <c r="Y19" s="770"/>
      <c r="Z19" s="1473"/>
      <c r="AA19" s="1473"/>
      <c r="AB19" s="1473"/>
      <c r="AC19" s="1473"/>
      <c r="AD19" s="1473"/>
      <c r="AE19" s="770"/>
      <c r="AF19" s="770"/>
      <c r="AG19" s="770"/>
      <c r="AH19" s="770"/>
      <c r="AI19" s="770"/>
      <c r="AJ19" s="770"/>
      <c r="AK19" s="770"/>
      <c r="AL19" s="770"/>
      <c r="AM19" s="770"/>
      <c r="AN19" s="770"/>
      <c r="AO19" s="770"/>
      <c r="AP19" s="770"/>
      <c r="AQ19" s="1473"/>
      <c r="AR19" s="770"/>
      <c r="AS19" s="770"/>
      <c r="AT19" s="770"/>
      <c r="AU19" s="770"/>
      <c r="AV19" s="770"/>
      <c r="AW19" s="770"/>
      <c r="AX19" s="770"/>
      <c r="AY19" s="770"/>
      <c r="AZ19" s="770"/>
      <c r="BA19" s="770"/>
      <c r="BB19" s="770"/>
      <c r="BC19" s="770"/>
      <c r="BD19" s="770"/>
      <c r="BE19" s="770"/>
      <c r="BF19" s="770"/>
      <c r="BG19" s="770"/>
      <c r="BH19" s="770"/>
      <c r="BI19" s="770"/>
      <c r="BJ19" s="770"/>
      <c r="BK19" s="770"/>
      <c r="BL19" s="770"/>
      <c r="BM19" s="770"/>
      <c r="BN19" s="770"/>
      <c r="BO19" s="770"/>
      <c r="BP19" s="770"/>
      <c r="BQ19" s="770"/>
      <c r="BR19" s="770"/>
      <c r="BS19" s="770"/>
      <c r="BT19" s="770"/>
      <c r="BU19" s="770"/>
      <c r="BV19" s="770"/>
      <c r="BW19" s="770"/>
      <c r="BX19" s="770"/>
      <c r="BY19" s="770"/>
      <c r="BZ19" s="770"/>
      <c r="CA19" s="770"/>
      <c r="CB19" s="770"/>
      <c r="CC19" s="770"/>
      <c r="CD19" s="770"/>
      <c r="CE19" s="770"/>
      <c r="CF19" s="770"/>
      <c r="CG19" s="770"/>
      <c r="CH19" s="770"/>
      <c r="CI19" s="770"/>
      <c r="CJ19" s="770"/>
      <c r="CK19" s="770"/>
      <c r="CL19" s="770"/>
      <c r="CM19" s="770"/>
      <c r="CN19" s="770"/>
      <c r="CO19" s="770"/>
      <c r="CP19" s="770"/>
      <c r="CQ19" s="770"/>
    </row>
    <row r="20" spans="1:95" ht="20.100000000000001" customHeight="1">
      <c r="A20" s="1902" t="s">
        <v>2642</v>
      </c>
      <c r="B20" s="1943"/>
      <c r="C20" s="1473"/>
      <c r="D20" s="1943"/>
      <c r="E20" s="1473"/>
      <c r="F20" s="1473"/>
      <c r="G20" s="1473"/>
      <c r="H20" s="1473"/>
      <c r="I20" s="1473"/>
      <c r="J20" s="1473"/>
      <c r="K20" s="1473"/>
      <c r="L20" s="1473"/>
      <c r="M20" s="1473"/>
      <c r="N20" s="1473"/>
      <c r="O20" s="1473"/>
      <c r="P20" s="1473"/>
      <c r="Q20" s="1473"/>
      <c r="R20" s="1473"/>
      <c r="S20" s="1473"/>
      <c r="T20" s="1473"/>
      <c r="U20" s="1473"/>
      <c r="V20" s="1473"/>
      <c r="W20" s="1473"/>
      <c r="X20" s="1473"/>
      <c r="Y20" s="770"/>
      <c r="Z20" s="1473"/>
      <c r="AA20" s="1473"/>
      <c r="AB20" s="1473"/>
      <c r="AC20" s="1473"/>
      <c r="AD20" s="1473"/>
      <c r="AE20" s="770"/>
      <c r="AF20" s="770"/>
      <c r="AG20" s="770"/>
      <c r="AH20" s="770"/>
      <c r="AI20" s="770"/>
      <c r="AJ20" s="770"/>
      <c r="AK20" s="770"/>
      <c r="AL20" s="770"/>
      <c r="AM20" s="770"/>
      <c r="AN20" s="770"/>
      <c r="AO20" s="770"/>
      <c r="AP20" s="770"/>
      <c r="AQ20" s="1473"/>
      <c r="AR20" s="770"/>
      <c r="AS20" s="770"/>
      <c r="AT20" s="770"/>
      <c r="AU20" s="770"/>
      <c r="AV20" s="770"/>
      <c r="AW20" s="770"/>
      <c r="AX20" s="770"/>
      <c r="AY20" s="770"/>
      <c r="AZ20" s="770"/>
      <c r="BA20" s="770"/>
      <c r="BB20" s="770"/>
      <c r="BC20" s="770"/>
      <c r="BD20" s="770"/>
      <c r="BE20" s="770"/>
      <c r="BF20" s="770"/>
      <c r="BG20" s="770"/>
      <c r="BH20" s="770"/>
      <c r="BI20" s="770"/>
      <c r="BJ20" s="770"/>
      <c r="BK20" s="770"/>
      <c r="BL20" s="770"/>
      <c r="BM20" s="770"/>
      <c r="BN20" s="770"/>
      <c r="BO20" s="770"/>
      <c r="BP20" s="770"/>
      <c r="BQ20" s="770"/>
      <c r="BR20" s="770"/>
      <c r="BS20" s="770"/>
      <c r="BT20" s="770"/>
      <c r="BU20" s="770"/>
      <c r="BV20" s="770"/>
      <c r="BW20" s="770"/>
      <c r="BX20" s="770"/>
      <c r="BY20" s="770"/>
      <c r="BZ20" s="770"/>
      <c r="CA20" s="770"/>
      <c r="CB20" s="770"/>
      <c r="CC20" s="770"/>
      <c r="CD20" s="770"/>
      <c r="CE20" s="770"/>
      <c r="CF20" s="770"/>
      <c r="CG20" s="770"/>
      <c r="CH20" s="770"/>
      <c r="CI20" s="770"/>
      <c r="CJ20" s="770"/>
      <c r="CK20" s="770"/>
      <c r="CL20" s="770"/>
      <c r="CM20" s="770"/>
      <c r="CN20" s="770"/>
      <c r="CO20" s="770"/>
      <c r="CP20" s="770"/>
      <c r="CQ20" s="770"/>
    </row>
    <row r="21" spans="1:95" ht="20.100000000000001" customHeight="1">
      <c r="A21" s="1902" t="s">
        <v>2643</v>
      </c>
      <c r="B21" s="1943"/>
      <c r="C21" s="1473"/>
      <c r="D21" s="1943"/>
      <c r="E21" s="1473"/>
      <c r="F21" s="1473"/>
      <c r="G21" s="1473"/>
      <c r="H21" s="1473"/>
      <c r="I21" s="1473"/>
      <c r="J21" s="1473"/>
      <c r="K21" s="1473"/>
      <c r="L21" s="1473"/>
      <c r="M21" s="1473"/>
      <c r="N21" s="1473"/>
      <c r="O21" s="1473"/>
      <c r="P21" s="1473"/>
      <c r="Q21" s="1473"/>
      <c r="R21" s="1473"/>
      <c r="S21" s="1473"/>
      <c r="T21" s="1473"/>
      <c r="U21" s="1473"/>
      <c r="V21" s="1473"/>
      <c r="W21" s="1473"/>
      <c r="X21" s="1473"/>
      <c r="Y21" s="770"/>
      <c r="Z21" s="1473"/>
      <c r="AA21" s="1473"/>
      <c r="AB21" s="1473"/>
      <c r="AC21" s="1473"/>
      <c r="AD21" s="1473"/>
      <c r="AE21" s="770"/>
      <c r="AF21" s="770"/>
      <c r="AG21" s="770"/>
      <c r="AH21" s="770"/>
      <c r="AI21" s="770"/>
      <c r="AJ21" s="770"/>
      <c r="AK21" s="770"/>
      <c r="AL21" s="770"/>
      <c r="AM21" s="770"/>
      <c r="AN21" s="770"/>
      <c r="AO21" s="770"/>
      <c r="AP21" s="770"/>
      <c r="AQ21" s="1473"/>
      <c r="AR21" s="770"/>
      <c r="AS21" s="770"/>
      <c r="AT21" s="770"/>
      <c r="AU21" s="770"/>
      <c r="AV21" s="770"/>
      <c r="AW21" s="770"/>
      <c r="AX21" s="770"/>
      <c r="AY21" s="770"/>
      <c r="AZ21" s="770"/>
      <c r="BA21" s="770"/>
      <c r="BB21" s="770"/>
      <c r="BC21" s="770"/>
      <c r="BD21" s="770"/>
      <c r="BE21" s="770"/>
      <c r="BF21" s="770"/>
      <c r="BG21" s="770"/>
      <c r="BH21" s="770"/>
      <c r="BI21" s="770"/>
      <c r="BJ21" s="770"/>
      <c r="BK21" s="770"/>
      <c r="BL21" s="770"/>
      <c r="BM21" s="770"/>
      <c r="BN21" s="770"/>
      <c r="BO21" s="770"/>
      <c r="BP21" s="770"/>
      <c r="BQ21" s="770"/>
      <c r="BR21" s="770"/>
      <c r="BS21" s="770"/>
      <c r="BT21" s="770"/>
      <c r="BU21" s="770"/>
      <c r="BV21" s="770"/>
      <c r="BW21" s="770"/>
      <c r="BX21" s="770"/>
      <c r="BY21" s="770"/>
      <c r="BZ21" s="770"/>
      <c r="CA21" s="770"/>
      <c r="CB21" s="770"/>
      <c r="CC21" s="770"/>
      <c r="CD21" s="770"/>
      <c r="CE21" s="770"/>
      <c r="CF21" s="770"/>
      <c r="CG21" s="770"/>
      <c r="CH21" s="770"/>
      <c r="CI21" s="770"/>
      <c r="CJ21" s="770"/>
      <c r="CK21" s="770"/>
      <c r="CL21" s="770"/>
      <c r="CM21" s="770"/>
      <c r="CN21" s="770"/>
      <c r="CO21" s="770"/>
      <c r="CP21" s="770"/>
      <c r="CQ21" s="770"/>
    </row>
  </sheetData>
  <customSheetViews>
    <customSheetView guid="{9C153D9E-615C-443B-9CD7-551163282F03}" showPageBreaks="1" view="pageLayout" topLeftCell="CL1">
      <selection activeCell="BV7" sqref="BV7"/>
      <colBreaks count="8" manualBreakCount="8">
        <brk id="21" max="1048575" man="1"/>
        <brk id="30" max="1048575" man="1"/>
        <brk id="41" max="1048575" man="1"/>
        <brk id="49" max="1048575" man="1"/>
        <brk id="60" max="1048575" man="1"/>
        <brk id="73" max="1048575" man="1"/>
        <brk id="81" max="1048575" man="1"/>
        <brk id="88" max="1048575" man="1"/>
      </colBreaks>
      <pageMargins left="0" right="0" top="0" bottom="0" header="0" footer="0"/>
      <pageSetup firstPageNumber="84" orientation="landscape" r:id="rId1"/>
      <headerFooter>
        <oddFooter>&amp;C&amp;P</oddFooter>
      </headerFooter>
    </customSheetView>
    <customSheetView guid="{BE9F68F7-D81B-4526-9959-D871EC50BDFF}" showPageBreaks="1" view="pageLayout" topLeftCell="CL1">
      <selection activeCell="BV7" sqref="BV7"/>
      <colBreaks count="8" manualBreakCount="8">
        <brk id="21" max="1048575" man="1"/>
        <brk id="30" max="1048575" man="1"/>
        <brk id="41" max="1048575" man="1"/>
        <brk id="49" max="1048575" man="1"/>
        <brk id="60" max="1048575" man="1"/>
        <brk id="73" max="1048575" man="1"/>
        <brk id="81" max="1048575" man="1"/>
        <brk id="88" max="1048575" man="1"/>
      </colBreaks>
      <pageMargins left="0" right="0" top="0" bottom="0" header="0" footer="0"/>
      <pageSetup firstPageNumber="84" orientation="landscape" r:id="rId2"/>
      <headerFooter>
        <oddFooter>&amp;C&amp;P</oddFooter>
      </headerFooter>
    </customSheetView>
    <customSheetView guid="{EF790C5B-80DA-4544-9EB7-EFE0323B2298}" scale="150" showPageBreaks="1" view="pageLayout" topLeftCell="CL9">
      <selection activeCell="CP7" sqref="CP7"/>
      <colBreaks count="8" manualBreakCount="8">
        <brk id="21" max="1048575" man="1"/>
        <brk id="30" max="1048575" man="1"/>
        <brk id="41" max="1048575" man="1"/>
        <brk id="49" max="1048575" man="1"/>
        <brk id="60" max="1048575" man="1"/>
        <brk id="73" max="1048575" man="1"/>
        <brk id="81" max="1048575" man="1"/>
        <brk id="88" max="1048575" man="1"/>
      </colBreaks>
      <pageMargins left="0" right="0" top="0" bottom="0" header="0" footer="0"/>
      <pageSetup firstPageNumber="84" orientation="landscape" r:id="rId3"/>
      <headerFooter>
        <oddFooter>&amp;C&amp;P</oddFooter>
      </headerFooter>
    </customSheetView>
    <customSheetView guid="{C9D2DBB1-CD01-4732-8C86-64BE16C94753}" showPageBreaks="1" view="pageBreakPreview">
      <colBreaks count="8" manualBreakCount="8">
        <brk id="21" max="1048575" man="1"/>
        <brk id="30" max="1048575" man="1"/>
        <brk id="41" max="1048575" man="1"/>
        <brk id="49" max="1048575" man="1"/>
        <brk id="60" max="1048575" man="1"/>
        <brk id="73" max="1048575" man="1"/>
        <brk id="81" max="1048575" man="1"/>
        <brk id="88" max="1048575" man="1"/>
      </colBreaks>
      <pageMargins left="0" right="0" top="0" bottom="0" header="0" footer="0"/>
      <pageSetup firstPageNumber="84" orientation="landscape" r:id="rId4"/>
      <headerFooter>
        <oddFooter>&amp;C&amp;P</oddFooter>
      </headerFooter>
    </customSheetView>
    <customSheetView guid="{BFEC163F-7C4E-49B7-9F32-15225772E72F}" scale="118" showPageBreaks="1" view="pageBreakPreview" topLeftCell="CE1">
      <selection activeCell="CI7" sqref="CI7"/>
      <colBreaks count="8" manualBreakCount="8">
        <brk id="21" max="1048575" man="1"/>
        <brk id="30" max="1048575" man="1"/>
        <brk id="41" max="1048575" man="1"/>
        <brk id="49" max="1048575" man="1"/>
        <brk id="60" max="1048575" man="1"/>
        <brk id="73" max="1048575" man="1"/>
        <brk id="81" max="1048575" man="1"/>
        <brk id="88" max="1048575" man="1"/>
      </colBreaks>
      <pageMargins left="0" right="0" top="0" bottom="0" header="0" footer="0"/>
      <pageSetup firstPageNumber="84" orientation="landscape" r:id="rId5"/>
      <headerFooter>
        <oddFooter>&amp;C&amp;P</oddFooter>
      </headerFooter>
    </customSheetView>
    <customSheetView guid="{5529DB6B-163A-4048-9107-267B30B97DF3}" showPageBreaks="1" view="pageBreakPreview" topLeftCell="BY1">
      <selection activeCell="CI7" sqref="CI7"/>
      <colBreaks count="8" manualBreakCount="8">
        <brk id="21" max="1048575" man="1"/>
        <brk id="30" max="1048575" man="1"/>
        <brk id="41" max="1048575" man="1"/>
        <brk id="49" max="1048575" man="1"/>
        <brk id="60" max="1048575" man="1"/>
        <brk id="73" max="1048575" man="1"/>
        <brk id="81" max="1048575" man="1"/>
        <brk id="88" max="1048575" man="1"/>
      </colBreaks>
      <pageMargins left="0" right="0" top="0" bottom="0" header="0" footer="0"/>
      <pageSetup firstPageNumber="84" orientation="landscape" r:id="rId6"/>
      <headerFooter>
        <oddFooter>&amp;C&amp;P</oddFooter>
      </headerFooter>
    </customSheetView>
    <customSheetView guid="{9B0763AA-FA4B-479A-900C-C113E8BEEFEB}" showPageBreaks="1" view="pageLayout" topLeftCell="CL1">
      <selection activeCell="BV7" sqref="BV7"/>
      <colBreaks count="8" manualBreakCount="8">
        <brk id="21" max="1048575" man="1"/>
        <brk id="30" max="1048575" man="1"/>
        <brk id="41" max="1048575" man="1"/>
        <brk id="49" max="1048575" man="1"/>
        <brk id="60" max="1048575" man="1"/>
        <brk id="73" max="1048575" man="1"/>
        <brk id="81" max="1048575" man="1"/>
        <brk id="88" max="1048575" man="1"/>
      </colBreaks>
      <pageMargins left="0" right="0" top="0" bottom="0" header="0" footer="0"/>
      <pageSetup firstPageNumber="84" orientation="landscape" r:id="rId7"/>
      <headerFooter>
        <oddFooter>&amp;C&amp;P</oddFooter>
      </headerFooter>
    </customSheetView>
    <customSheetView guid="{89903799-8228-4A6D-8A81-7F80BC61226D}" scale="150" showPageBreaks="1" view="pageLayout" topLeftCell="BV4">
      <selection activeCell="BV7" sqref="BV7"/>
      <colBreaks count="8" manualBreakCount="8">
        <brk id="21" max="1048575" man="1"/>
        <brk id="30" max="1048575" man="1"/>
        <brk id="41" max="1048575" man="1"/>
        <brk id="49" max="1048575" man="1"/>
        <brk id="60" max="1048575" man="1"/>
        <brk id="73" max="1048575" man="1"/>
        <brk id="81" max="1048575" man="1"/>
        <brk id="88" max="1048575" man="1"/>
      </colBreaks>
      <pageMargins left="0" right="0" top="0" bottom="0" header="0" footer="0"/>
      <pageSetup firstPageNumber="84" orientation="landscape" r:id="rId8"/>
      <headerFooter>
        <oddFooter>&amp;C&amp;P</oddFooter>
      </headerFooter>
    </customSheetView>
    <customSheetView guid="{2524630E-605A-4616-AD5D-6CF7B1E9752C}" scale="150" showPageBreaks="1" view="pageLayout" topLeftCell="CG5">
      <selection activeCell="CJ7" sqref="CJ7"/>
      <colBreaks count="8" manualBreakCount="8">
        <brk id="21" max="1048575" man="1"/>
        <brk id="30" max="1048575" man="1"/>
        <brk id="41" max="1048575" man="1"/>
        <brk id="49" max="1048575" man="1"/>
        <brk id="60" max="1048575" man="1"/>
        <brk id="73" max="1048575" man="1"/>
        <brk id="81" max="1048575" man="1"/>
        <brk id="88" max="1048575" man="1"/>
      </colBreaks>
      <pageMargins left="0" right="0" top="0" bottom="0" header="0" footer="0"/>
      <pageSetup firstPageNumber="84" orientation="landscape" r:id="rId9"/>
      <headerFooter>
        <oddFooter>&amp;C&amp;P</oddFooter>
      </headerFooter>
    </customSheetView>
  </customSheetViews>
  <mergeCells count="35">
    <mergeCell ref="BN6:BO6"/>
    <mergeCell ref="BE6:BF6"/>
    <mergeCell ref="BG6:BH6"/>
    <mergeCell ref="G8:I8"/>
    <mergeCell ref="BN7:BO7"/>
    <mergeCell ref="A7:A9"/>
    <mergeCell ref="BJ6:BK6"/>
    <mergeCell ref="E7:E9"/>
    <mergeCell ref="D7:D9"/>
    <mergeCell ref="G7:U7"/>
    <mergeCell ref="G6:U6"/>
    <mergeCell ref="AV7:AW7"/>
    <mergeCell ref="AZ7:BA7"/>
    <mergeCell ref="J8:L8"/>
    <mergeCell ref="M8:O8"/>
    <mergeCell ref="P8:R8"/>
    <mergeCell ref="S8:U8"/>
    <mergeCell ref="B7:B9"/>
    <mergeCell ref="BJ7:BL7"/>
    <mergeCell ref="CB7:CC7"/>
    <mergeCell ref="CB6:CC6"/>
    <mergeCell ref="AC7:AD7"/>
    <mergeCell ref="AG7:AO7"/>
    <mergeCell ref="AS7:AT7"/>
    <mergeCell ref="BU6:BV6"/>
    <mergeCell ref="AC6:AD6"/>
    <mergeCell ref="BQ6:BR6"/>
    <mergeCell ref="BU7:BV7"/>
    <mergeCell ref="BQ7:BR7"/>
    <mergeCell ref="AG6:AO6"/>
    <mergeCell ref="AS6:AT6"/>
    <mergeCell ref="AV6:AW6"/>
    <mergeCell ref="BE7:BF7"/>
    <mergeCell ref="AZ6:BA6"/>
    <mergeCell ref="BG7:BH7"/>
  </mergeCells>
  <pageMargins left="0.314" right="0.314" top="0.11799999999999999" bottom="0.27500000000000002" header="0.157" footer="0.11799999999999999"/>
  <pageSetup firstPageNumber="84" orientation="landscape" r:id="rId10"/>
  <headerFooter>
    <oddFooter>&amp;C&amp;P</oddFooter>
  </headerFooter>
  <colBreaks count="8" manualBreakCount="8">
    <brk id="21" max="1048575" man="1"/>
    <brk id="30" max="1048575" man="1"/>
    <brk id="41" max="1048575" man="1"/>
    <brk id="49" max="1048575" man="1"/>
    <brk id="60" max="1048575" man="1"/>
    <brk id="74" max="1048575" man="1"/>
    <brk id="82" max="1048575" man="1"/>
    <brk id="89" max="1048575" man="1"/>
  </colBreaks>
  <drawing r:id="rId1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300-000000000000}">
  <dimension ref="A1:AN90"/>
  <sheetViews>
    <sheetView view="pageBreakPreview" topLeftCell="A78" zoomScale="140" zoomScaleNormal="100" zoomScaleSheetLayoutView="140" workbookViewId="0">
      <selection activeCell="P15" sqref="P15"/>
    </sheetView>
  </sheetViews>
  <sheetFormatPr defaultColWidth="9.140625" defaultRowHeight="13.5"/>
  <cols>
    <col min="1" max="1" width="6.7109375" style="24" customWidth="1"/>
    <col min="2" max="2" width="4.140625" style="24" customWidth="1"/>
    <col min="3" max="4" width="3.7109375" style="24" customWidth="1"/>
    <col min="5" max="5" width="4.42578125" style="24" customWidth="1"/>
    <col min="6" max="13" width="3.7109375" style="24" customWidth="1"/>
    <col min="14" max="14" width="5.7109375" style="24" customWidth="1"/>
    <col min="15" max="20" width="3.7109375" style="24" customWidth="1"/>
    <col min="21" max="21" width="6.42578125" style="880" customWidth="1"/>
    <col min="22" max="22" width="5.85546875" style="880" customWidth="1"/>
    <col min="23" max="35" width="3.7109375" style="880" customWidth="1"/>
    <col min="36" max="36" width="4.7109375" style="880" customWidth="1"/>
    <col min="37" max="37" width="9.140625" style="880"/>
    <col min="38" max="16384" width="9.140625" style="24"/>
  </cols>
  <sheetData>
    <row r="1" spans="1:36" ht="15.75">
      <c r="A1" s="660" t="s">
        <v>2644</v>
      </c>
    </row>
    <row r="2" spans="1:36">
      <c r="A2" s="125"/>
    </row>
    <row r="3" spans="1:36">
      <c r="A3" s="538">
        <v>18</v>
      </c>
      <c r="B3" s="24" t="s">
        <v>2645</v>
      </c>
    </row>
    <row r="5" spans="1:36" ht="13.5" customHeight="1">
      <c r="A5" s="629">
        <f>A3+0.01</f>
        <v>18.010000000000002</v>
      </c>
      <c r="B5" s="3003" t="s">
        <v>2646</v>
      </c>
      <c r="C5" s="3003"/>
      <c r="D5" s="3003"/>
      <c r="E5" s="3003"/>
      <c r="F5" s="3003"/>
      <c r="G5" s="3003"/>
      <c r="H5" s="3003"/>
      <c r="I5" s="3003"/>
      <c r="J5" s="3003"/>
      <c r="K5" s="3003"/>
      <c r="L5" s="3003"/>
      <c r="M5" s="3003"/>
      <c r="N5" s="3003"/>
      <c r="O5" s="3003"/>
      <c r="P5" s="3003"/>
      <c r="Q5" s="3003"/>
      <c r="R5" s="3003"/>
      <c r="S5" s="3003"/>
      <c r="T5" s="661"/>
      <c r="U5" s="902">
        <f>A33+0.01</f>
        <v>18.070000000000011</v>
      </c>
      <c r="V5" s="1761" t="s">
        <v>2647</v>
      </c>
      <c r="W5" s="1761"/>
      <c r="X5" s="1761"/>
      <c r="Y5" s="1761"/>
      <c r="Z5" s="1761"/>
      <c r="AA5" s="1761"/>
      <c r="AB5" s="1761"/>
      <c r="AC5" s="1761"/>
      <c r="AD5" s="1761"/>
      <c r="AE5" s="1761"/>
      <c r="AF5" s="1761"/>
      <c r="AG5" s="1761"/>
      <c r="AH5" s="1761"/>
      <c r="AI5" s="1761"/>
      <c r="AJ5" s="1756"/>
    </row>
    <row r="6" spans="1:36">
      <c r="A6" s="25"/>
      <c r="B6" s="87" t="s">
        <v>2648</v>
      </c>
      <c r="C6" s="311"/>
      <c r="D6" s="311"/>
      <c r="E6" s="311"/>
      <c r="F6" s="311"/>
      <c r="G6" s="311"/>
      <c r="H6" s="311"/>
      <c r="I6" s="311"/>
      <c r="J6" s="311"/>
      <c r="K6" s="311"/>
      <c r="L6" s="311"/>
      <c r="M6" s="311"/>
      <c r="N6" s="311"/>
      <c r="O6" s="311"/>
      <c r="P6" s="311"/>
      <c r="Q6" s="311"/>
      <c r="R6" s="311"/>
      <c r="S6" s="311"/>
      <c r="T6" s="419"/>
      <c r="U6" s="979"/>
      <c r="V6" s="943" t="s">
        <v>2649</v>
      </c>
      <c r="W6" s="1082"/>
      <c r="X6" s="1082"/>
      <c r="Y6" s="1082"/>
      <c r="Z6" s="1082"/>
      <c r="AA6" s="1082"/>
      <c r="AB6" s="1082"/>
      <c r="AC6" s="1082"/>
      <c r="AD6" s="1082"/>
      <c r="AE6" s="880" t="s">
        <v>2650</v>
      </c>
      <c r="AF6" s="1082"/>
      <c r="AG6" s="1082"/>
      <c r="AH6" s="1082"/>
      <c r="AI6" s="1082"/>
      <c r="AJ6" s="1043"/>
    </row>
    <row r="7" spans="1:36">
      <c r="A7" s="25"/>
      <c r="C7" s="189" t="s">
        <v>1603</v>
      </c>
      <c r="K7" s="24" t="s">
        <v>420</v>
      </c>
      <c r="T7" s="26"/>
      <c r="U7" s="1402"/>
      <c r="AJ7" s="1043"/>
    </row>
    <row r="8" spans="1:36">
      <c r="A8" s="662"/>
      <c r="B8" s="663"/>
      <c r="C8" s="189" t="s">
        <v>2651</v>
      </c>
      <c r="D8" s="663"/>
      <c r="E8" s="663"/>
      <c r="F8" s="663">
        <v>20</v>
      </c>
      <c r="G8" s="663"/>
      <c r="H8" s="663"/>
      <c r="I8" s="663"/>
      <c r="J8" s="663"/>
      <c r="K8" s="663"/>
      <c r="L8" s="663"/>
      <c r="M8" s="663"/>
      <c r="N8" s="663"/>
      <c r="O8" s="663"/>
      <c r="P8" s="663"/>
      <c r="Q8" s="663"/>
      <c r="R8" s="663"/>
      <c r="S8" s="663"/>
      <c r="T8" s="652"/>
      <c r="U8" s="1402"/>
      <c r="W8" s="1751">
        <v>1</v>
      </c>
      <c r="X8" s="1751"/>
      <c r="Y8" s="880" t="s">
        <v>2652</v>
      </c>
      <c r="AJ8" s="1043"/>
    </row>
    <row r="9" spans="1:36">
      <c r="A9" s="113">
        <f>A5+0.01</f>
        <v>18.020000000000003</v>
      </c>
      <c r="B9" s="624"/>
      <c r="C9" s="89" t="s">
        <v>2653</v>
      </c>
      <c r="D9" s="602"/>
      <c r="E9" s="602"/>
      <c r="F9" s="602"/>
      <c r="G9" s="602"/>
      <c r="H9" s="602"/>
      <c r="I9" s="602"/>
      <c r="J9" s="602"/>
      <c r="K9" s="602"/>
      <c r="L9" s="602"/>
      <c r="M9" s="602"/>
      <c r="N9" s="602"/>
      <c r="O9" s="602"/>
      <c r="P9" s="602"/>
      <c r="Q9" s="602"/>
      <c r="R9" s="602"/>
      <c r="S9" s="602"/>
      <c r="T9" s="23"/>
      <c r="U9" s="1402"/>
      <c r="W9" s="1751">
        <v>2</v>
      </c>
      <c r="X9" s="1751"/>
      <c r="Y9" s="880" t="s">
        <v>2654</v>
      </c>
      <c r="AE9" s="880" t="s">
        <v>2655</v>
      </c>
      <c r="AJ9" s="1043"/>
    </row>
    <row r="10" spans="1:36" ht="13.5" customHeight="1">
      <c r="A10" s="25"/>
      <c r="B10" s="24" t="s">
        <v>1766</v>
      </c>
      <c r="H10" s="24" t="s">
        <v>1767</v>
      </c>
      <c r="N10" s="24" t="s">
        <v>1768</v>
      </c>
      <c r="T10" s="26"/>
      <c r="U10" s="1402"/>
      <c r="W10" s="880">
        <v>3</v>
      </c>
      <c r="Y10" s="880" t="s">
        <v>2656</v>
      </c>
      <c r="Z10" s="1082"/>
      <c r="AA10" s="1082"/>
      <c r="AB10" s="1082"/>
      <c r="AC10" s="1082"/>
      <c r="AJ10" s="1043"/>
    </row>
    <row r="11" spans="1:36">
      <c r="A11" s="662"/>
      <c r="B11" s="663"/>
      <c r="C11" s="663"/>
      <c r="D11" s="663"/>
      <c r="E11" s="663"/>
      <c r="F11" s="663"/>
      <c r="G11" s="663"/>
      <c r="H11" s="663"/>
      <c r="I11" s="663"/>
      <c r="J11" s="663"/>
      <c r="K11" s="663"/>
      <c r="L11" s="663"/>
      <c r="M11" s="663"/>
      <c r="N11" s="663"/>
      <c r="O11" s="663"/>
      <c r="P11" s="663"/>
      <c r="Q11" s="663"/>
      <c r="R11" s="663"/>
      <c r="S11" s="663"/>
      <c r="T11" s="652"/>
      <c r="U11" s="1402"/>
      <c r="W11" s="880">
        <v>4</v>
      </c>
      <c r="Y11" s="880" t="s">
        <v>2657</v>
      </c>
      <c r="Z11" s="1082"/>
      <c r="AA11" s="1082"/>
      <c r="AB11" s="1082"/>
      <c r="AC11" s="1082"/>
      <c r="AJ11" s="1043"/>
    </row>
    <row r="12" spans="1:36">
      <c r="A12" s="113">
        <f>A9+0.01</f>
        <v>18.030000000000005</v>
      </c>
      <c r="B12" s="624"/>
      <c r="C12" s="602" t="s">
        <v>2658</v>
      </c>
      <c r="D12" s="602"/>
      <c r="E12" s="602"/>
      <c r="F12" s="602"/>
      <c r="G12" s="602"/>
      <c r="H12" s="602"/>
      <c r="I12" s="602"/>
      <c r="J12" s="602"/>
      <c r="K12" s="602"/>
      <c r="L12" s="602"/>
      <c r="M12" s="602"/>
      <c r="N12" s="602"/>
      <c r="O12" s="602"/>
      <c r="P12" s="602"/>
      <c r="Q12" s="602"/>
      <c r="R12" s="602"/>
      <c r="S12" s="602"/>
      <c r="T12" s="23"/>
      <c r="W12" s="1751">
        <v>5</v>
      </c>
      <c r="X12" s="1751"/>
      <c r="Y12" s="880" t="s">
        <v>1786</v>
      </c>
      <c r="AE12" s="880" t="s">
        <v>2659</v>
      </c>
      <c r="AJ12" s="1043"/>
    </row>
    <row r="13" spans="1:36">
      <c r="A13" s="25"/>
      <c r="T13" s="26"/>
      <c r="W13" s="880">
        <v>6</v>
      </c>
      <c r="Y13" s="880" t="str">
        <f>CONCATENATE("Nenhuma ►(",TEXT(U22,"0,00"), ")")</f>
        <v>Nenhuma ►(18,09)</v>
      </c>
      <c r="AJ13" s="1043"/>
    </row>
    <row r="14" spans="1:36">
      <c r="A14" s="25"/>
      <c r="C14" s="24">
        <v>1</v>
      </c>
      <c r="D14" s="24" t="s">
        <v>2660</v>
      </c>
      <c r="L14" s="2990"/>
      <c r="M14" s="2990"/>
      <c r="T14" s="26"/>
      <c r="W14" s="1751">
        <v>7</v>
      </c>
      <c r="X14" s="1751"/>
      <c r="Y14" s="880" t="s">
        <v>2661</v>
      </c>
      <c r="AJ14" s="1043"/>
    </row>
    <row r="15" spans="1:36">
      <c r="A15" s="25"/>
      <c r="C15" s="24">
        <v>2</v>
      </c>
      <c r="D15" s="24" t="s">
        <v>2662</v>
      </c>
      <c r="K15" s="24" t="s">
        <v>420</v>
      </c>
      <c r="L15" s="668"/>
      <c r="M15" s="668"/>
      <c r="T15" s="26"/>
      <c r="W15" s="1751">
        <v>8</v>
      </c>
      <c r="X15" s="1751"/>
      <c r="Y15" s="880" t="s">
        <v>2663</v>
      </c>
    </row>
    <row r="16" spans="1:36">
      <c r="A16" s="25"/>
      <c r="C16" s="24">
        <v>3</v>
      </c>
      <c r="D16" s="24" t="s">
        <v>2664</v>
      </c>
      <c r="L16" s="668"/>
      <c r="M16" s="668"/>
      <c r="T16" s="26"/>
      <c r="W16" s="1751">
        <v>9</v>
      </c>
      <c r="X16" s="1751"/>
      <c r="Y16" s="880" t="s">
        <v>2665</v>
      </c>
    </row>
    <row r="17" spans="1:36">
      <c r="A17" s="25"/>
      <c r="C17" s="24">
        <v>4</v>
      </c>
      <c r="D17" s="24" t="s">
        <v>2666</v>
      </c>
      <c r="T17" s="26"/>
      <c r="U17" s="2837">
        <f>U5+0.01</f>
        <v>18.080000000000013</v>
      </c>
      <c r="V17" s="2838"/>
      <c r="W17" s="1761" t="s">
        <v>2667</v>
      </c>
      <c r="X17" s="1761"/>
      <c r="Y17" s="1761"/>
      <c r="Z17" s="1761"/>
      <c r="AA17" s="1761"/>
      <c r="AB17" s="1761"/>
      <c r="AC17" s="1761"/>
      <c r="AD17" s="1761"/>
      <c r="AE17" s="1761"/>
      <c r="AF17" s="1761"/>
      <c r="AG17" s="1761"/>
      <c r="AH17" s="1761"/>
      <c r="AI17" s="1761"/>
      <c r="AJ17" s="1756"/>
    </row>
    <row r="18" spans="1:36">
      <c r="A18" s="25"/>
      <c r="C18" s="24">
        <v>5</v>
      </c>
      <c r="D18" s="24" t="s">
        <v>2668</v>
      </c>
      <c r="T18" s="26"/>
      <c r="U18" s="1402"/>
      <c r="W18" s="880">
        <v>1</v>
      </c>
      <c r="Y18" s="880" t="s">
        <v>2669</v>
      </c>
      <c r="AJ18" s="1043"/>
    </row>
    <row r="19" spans="1:36">
      <c r="A19" s="25"/>
      <c r="C19" s="24">
        <v>6</v>
      </c>
      <c r="D19" s="24" t="s">
        <v>2670</v>
      </c>
      <c r="T19" s="26"/>
      <c r="U19" s="1402"/>
      <c r="W19" s="880">
        <v>2</v>
      </c>
      <c r="Y19" s="880" t="s">
        <v>2671</v>
      </c>
      <c r="AJ19" s="1043"/>
    </row>
    <row r="20" spans="1:36">
      <c r="A20" s="25"/>
      <c r="C20" s="24">
        <v>7</v>
      </c>
      <c r="D20" s="24" t="s">
        <v>1786</v>
      </c>
      <c r="T20" s="26"/>
      <c r="U20" s="1402"/>
      <c r="W20" s="880">
        <v>3</v>
      </c>
      <c r="Y20" s="880" t="s">
        <v>2672</v>
      </c>
      <c r="AJ20" s="1043"/>
    </row>
    <row r="21" spans="1:36">
      <c r="A21" s="25"/>
      <c r="U21" s="1891"/>
      <c r="V21" s="1892"/>
      <c r="W21" s="1892"/>
      <c r="X21" s="1892"/>
      <c r="Y21" s="1892"/>
      <c r="Z21" s="1892"/>
      <c r="AA21" s="1892"/>
      <c r="AB21" s="1892"/>
      <c r="AC21" s="1892"/>
      <c r="AD21" s="1892"/>
      <c r="AE21" s="1892"/>
      <c r="AF21" s="1892"/>
      <c r="AG21" s="1892"/>
      <c r="AH21" s="1892"/>
      <c r="AI21" s="1892"/>
      <c r="AJ21" s="1869"/>
    </row>
    <row r="22" spans="1:36">
      <c r="A22" s="662"/>
      <c r="B22" s="663"/>
      <c r="C22" s="663"/>
      <c r="D22" s="663"/>
      <c r="E22" s="663"/>
      <c r="F22" s="663"/>
      <c r="G22" s="663"/>
      <c r="H22" s="663"/>
      <c r="I22" s="663"/>
      <c r="J22" s="663"/>
      <c r="K22" s="663"/>
      <c r="L22" s="663"/>
      <c r="M22" s="663"/>
      <c r="N22" s="663"/>
      <c r="O22" s="663"/>
      <c r="P22" s="663"/>
      <c r="Q22" s="663"/>
      <c r="R22" s="663"/>
      <c r="S22" s="663"/>
      <c r="T22" s="663"/>
      <c r="U22" s="2837">
        <f>U17+0.01</f>
        <v>18.090000000000014</v>
      </c>
      <c r="V22" s="2838"/>
      <c r="W22" s="2991" t="s">
        <v>2673</v>
      </c>
      <c r="X22" s="2991"/>
      <c r="Y22" s="2991"/>
      <c r="Z22" s="2991"/>
      <c r="AA22" s="2991"/>
      <c r="AB22" s="2991"/>
      <c r="AC22" s="2991"/>
      <c r="AD22" s="2991"/>
      <c r="AE22" s="2991"/>
      <c r="AF22" s="2991"/>
      <c r="AG22" s="2991"/>
      <c r="AH22" s="2991"/>
      <c r="AI22" s="2991"/>
      <c r="AJ22" s="1756"/>
    </row>
    <row r="23" spans="1:36">
      <c r="A23" s="113">
        <f>A12+0.01</f>
        <v>18.040000000000006</v>
      </c>
      <c r="B23" s="624"/>
      <c r="C23" s="602" t="s">
        <v>2674</v>
      </c>
      <c r="D23" s="602"/>
      <c r="E23" s="602"/>
      <c r="F23" s="602"/>
      <c r="G23" s="602"/>
      <c r="H23" s="602"/>
      <c r="I23" s="602"/>
      <c r="J23" s="602"/>
      <c r="K23" s="602"/>
      <c r="L23" s="602"/>
      <c r="M23" s="602"/>
      <c r="N23" s="602"/>
      <c r="O23" s="602"/>
      <c r="P23" s="602"/>
      <c r="Q23" s="602"/>
      <c r="R23" s="602"/>
      <c r="S23" s="602"/>
      <c r="T23" s="602"/>
      <c r="U23" s="1402"/>
      <c r="W23" s="2651"/>
      <c r="X23" s="2651"/>
      <c r="Y23" s="2651"/>
      <c r="Z23" s="2651"/>
      <c r="AA23" s="2651"/>
      <c r="AB23" s="2651"/>
      <c r="AC23" s="2651"/>
      <c r="AD23" s="2651"/>
      <c r="AE23" s="2651"/>
      <c r="AF23" s="2651"/>
      <c r="AG23" s="2651"/>
      <c r="AH23" s="2651"/>
      <c r="AI23" s="2651"/>
      <c r="AJ23" s="1043"/>
    </row>
    <row r="24" spans="1:36">
      <c r="A24" s="25"/>
      <c r="C24" s="24">
        <v>1</v>
      </c>
      <c r="D24" s="24" t="s">
        <v>2675</v>
      </c>
      <c r="U24" s="1402"/>
      <c r="W24" s="880">
        <v>1</v>
      </c>
      <c r="Y24" s="880" t="s">
        <v>1332</v>
      </c>
      <c r="AC24" s="880" t="s">
        <v>420</v>
      </c>
      <c r="AJ24" s="1043"/>
    </row>
    <row r="25" spans="1:36">
      <c r="A25" s="25"/>
      <c r="C25" s="24">
        <v>2</v>
      </c>
      <c r="D25" s="24" t="s">
        <v>2676</v>
      </c>
      <c r="U25" s="1402"/>
      <c r="W25" s="880">
        <v>2</v>
      </c>
      <c r="Y25" s="880" t="str">
        <f>CONCATENATE("Não ►(",TEXT(U30,"0,00"), ")")</f>
        <v>Não ►(18,11)</v>
      </c>
      <c r="AJ25" s="1043"/>
    </row>
    <row r="26" spans="1:36">
      <c r="A26" s="25"/>
      <c r="C26" s="24">
        <v>3</v>
      </c>
      <c r="D26" s="24" t="s">
        <v>2677</v>
      </c>
      <c r="K26" s="24" t="s">
        <v>420</v>
      </c>
      <c r="T26" s="26"/>
      <c r="U26" s="1891"/>
      <c r="V26" s="1892"/>
      <c r="W26" s="1892"/>
      <c r="X26" s="1892"/>
      <c r="Y26" s="1892"/>
      <c r="Z26" s="1892"/>
      <c r="AA26" s="1892"/>
      <c r="AB26" s="1892"/>
      <c r="AC26" s="1892"/>
      <c r="AD26" s="1892"/>
      <c r="AE26" s="1892"/>
      <c r="AF26" s="1892"/>
      <c r="AG26" s="1892"/>
      <c r="AH26" s="1892"/>
      <c r="AI26" s="1892"/>
      <c r="AJ26" s="1869"/>
    </row>
    <row r="27" spans="1:36" ht="13.5" customHeight="1">
      <c r="A27" s="662"/>
      <c r="B27" s="663"/>
      <c r="C27" s="663"/>
      <c r="D27" s="663"/>
      <c r="E27" s="663"/>
      <c r="F27" s="663"/>
      <c r="G27" s="663"/>
      <c r="H27" s="663"/>
      <c r="I27" s="663"/>
      <c r="J27" s="663"/>
      <c r="K27" s="663"/>
      <c r="L27" s="663"/>
      <c r="M27" s="663"/>
      <c r="N27" s="663"/>
      <c r="O27" s="663"/>
      <c r="P27" s="663"/>
      <c r="Q27" s="663"/>
      <c r="R27" s="663"/>
      <c r="S27" s="663"/>
      <c r="T27" s="652"/>
      <c r="U27" s="2837">
        <f>U22+0.01</f>
        <v>18.100000000000016</v>
      </c>
      <c r="V27" s="2838"/>
      <c r="W27" s="2991" t="s">
        <v>2678</v>
      </c>
      <c r="X27" s="2991"/>
      <c r="Y27" s="2991"/>
      <c r="Z27" s="2991"/>
      <c r="AA27" s="2991"/>
      <c r="AB27" s="2991"/>
      <c r="AC27" s="2991"/>
      <c r="AD27" s="2991"/>
      <c r="AE27" s="2991"/>
      <c r="AF27" s="2991"/>
      <c r="AG27" s="2991"/>
      <c r="AH27" s="2991"/>
      <c r="AI27" s="2991"/>
      <c r="AJ27" s="1756"/>
    </row>
    <row r="28" spans="1:36">
      <c r="A28" s="113">
        <f>A23+0.01</f>
        <v>18.050000000000008</v>
      </c>
      <c r="B28" s="624"/>
      <c r="C28" s="602" t="s">
        <v>2679</v>
      </c>
      <c r="D28" s="602"/>
      <c r="E28" s="602"/>
      <c r="F28" s="602"/>
      <c r="G28" s="602"/>
      <c r="H28" s="602"/>
      <c r="I28" s="602"/>
      <c r="J28" s="602"/>
      <c r="K28" s="602"/>
      <c r="L28" s="602"/>
      <c r="M28" s="602"/>
      <c r="N28" s="602"/>
      <c r="O28" s="602"/>
      <c r="P28" s="602"/>
      <c r="Q28" s="602"/>
      <c r="R28" s="602"/>
      <c r="S28" s="602"/>
      <c r="T28" s="23"/>
      <c r="U28" s="1402"/>
      <c r="W28" s="1082"/>
      <c r="X28" s="1082"/>
      <c r="Y28" s="1082"/>
      <c r="Z28" s="1082"/>
      <c r="AA28" s="1082"/>
      <c r="AB28" s="1082"/>
      <c r="AC28" s="1082"/>
      <c r="AD28" s="1082"/>
      <c r="AE28" s="1082"/>
      <c r="AF28" s="1082"/>
      <c r="AG28" s="1082"/>
      <c r="AH28" s="1082"/>
      <c r="AI28" s="1082"/>
      <c r="AJ28" s="1043"/>
    </row>
    <row r="29" spans="1:36">
      <c r="A29" s="25"/>
      <c r="C29" s="24">
        <v>1</v>
      </c>
      <c r="D29" s="24" t="s">
        <v>2680</v>
      </c>
      <c r="T29" s="26"/>
      <c r="U29" s="1891"/>
      <c r="V29" s="1892"/>
      <c r="W29" s="1892"/>
      <c r="X29" s="1892"/>
      <c r="Y29" s="1892"/>
      <c r="Z29" s="1892"/>
      <c r="AA29" s="1892"/>
      <c r="AB29" s="1892"/>
      <c r="AC29" s="1892"/>
      <c r="AD29" s="1892"/>
      <c r="AE29" s="1892"/>
      <c r="AF29" s="1892"/>
      <c r="AG29" s="1892"/>
      <c r="AH29" s="1892"/>
      <c r="AI29" s="1892"/>
      <c r="AJ29" s="1869"/>
    </row>
    <row r="30" spans="1:36">
      <c r="A30" s="25"/>
      <c r="C30" s="24">
        <v>2</v>
      </c>
      <c r="D30" s="24" t="s">
        <v>2681</v>
      </c>
      <c r="K30" s="24" t="s">
        <v>420</v>
      </c>
      <c r="U30" s="2837">
        <f>U27+0.01</f>
        <v>18.110000000000017</v>
      </c>
      <c r="V30" s="2838"/>
      <c r="W30" s="2400" t="s">
        <v>2682</v>
      </c>
      <c r="X30" s="2400"/>
      <c r="Y30" s="2400"/>
      <c r="Z30" s="2400"/>
      <c r="AA30" s="2400"/>
      <c r="AB30" s="2400"/>
      <c r="AC30" s="2400"/>
      <c r="AD30" s="2400"/>
      <c r="AE30" s="2400"/>
      <c r="AF30" s="2400"/>
      <c r="AG30" s="2400"/>
      <c r="AH30" s="2400"/>
      <c r="AI30" s="2400"/>
      <c r="AJ30" s="1756"/>
    </row>
    <row r="31" spans="1:36">
      <c r="A31" s="25"/>
      <c r="C31" s="24">
        <v>3</v>
      </c>
      <c r="D31" s="24" t="s">
        <v>2683</v>
      </c>
      <c r="U31" s="1402"/>
      <c r="W31" s="2257"/>
      <c r="X31" s="2257"/>
      <c r="Y31" s="2257"/>
      <c r="Z31" s="2257"/>
      <c r="AA31" s="2257"/>
      <c r="AB31" s="2257"/>
      <c r="AC31" s="2257"/>
      <c r="AD31" s="2257"/>
      <c r="AE31" s="2257"/>
      <c r="AF31" s="2257"/>
      <c r="AG31" s="2257"/>
      <c r="AH31" s="2257"/>
      <c r="AI31" s="2257"/>
      <c r="AJ31" s="1043"/>
    </row>
    <row r="32" spans="1:36">
      <c r="A32" s="662"/>
      <c r="B32" s="663"/>
      <c r="C32" s="663">
        <v>4</v>
      </c>
      <c r="D32" s="663" t="s">
        <v>2684</v>
      </c>
      <c r="E32" s="663"/>
      <c r="F32" s="663"/>
      <c r="G32" s="663"/>
      <c r="H32" s="663"/>
      <c r="I32" s="663"/>
      <c r="J32" s="663"/>
      <c r="K32" s="663"/>
      <c r="L32" s="663"/>
      <c r="M32" s="663"/>
      <c r="N32" s="663"/>
      <c r="O32" s="663"/>
      <c r="P32" s="663"/>
      <c r="Q32" s="663"/>
      <c r="R32" s="663"/>
      <c r="S32" s="663"/>
      <c r="T32" s="663"/>
      <c r="U32" s="1891"/>
      <c r="V32" s="1892"/>
      <c r="W32" s="1892"/>
      <c r="X32" s="1892"/>
      <c r="Y32" s="1892"/>
      <c r="Z32" s="1892"/>
      <c r="AA32" s="1892"/>
      <c r="AB32" s="1892"/>
      <c r="AC32" s="1892"/>
      <c r="AD32" s="1892"/>
      <c r="AE32" s="1892"/>
      <c r="AF32" s="1892"/>
      <c r="AG32" s="1892"/>
      <c r="AH32" s="1892"/>
      <c r="AI32" s="1892"/>
      <c r="AJ32" s="1869"/>
    </row>
    <row r="33" spans="1:37">
      <c r="A33" s="612">
        <f>A28+0.01</f>
        <v>18.060000000000009</v>
      </c>
      <c r="B33" s="24" t="s">
        <v>2685</v>
      </c>
      <c r="C33" s="602"/>
      <c r="D33" s="602"/>
      <c r="E33" s="602"/>
      <c r="F33" s="602"/>
      <c r="G33" s="602"/>
      <c r="H33" s="602"/>
      <c r="I33" s="602"/>
      <c r="J33" s="602"/>
      <c r="K33" s="602"/>
      <c r="L33" s="602"/>
      <c r="M33" s="602"/>
      <c r="N33" s="602"/>
      <c r="O33" s="602"/>
      <c r="P33" s="602"/>
      <c r="Q33" s="602"/>
      <c r="R33" s="602"/>
      <c r="S33" s="602"/>
      <c r="T33" s="602"/>
      <c r="U33" s="2837">
        <f>U30+0.01</f>
        <v>18.120000000000019</v>
      </c>
      <c r="V33" s="2838"/>
      <c r="W33" s="2400" t="s">
        <v>2686</v>
      </c>
      <c r="X33" s="2400"/>
      <c r="Y33" s="2400"/>
      <c r="Z33" s="2400"/>
      <c r="AA33" s="2400"/>
      <c r="AB33" s="2400"/>
      <c r="AC33" s="2400"/>
      <c r="AD33" s="2400"/>
      <c r="AE33" s="2400"/>
      <c r="AF33" s="2400"/>
      <c r="AG33" s="2400"/>
      <c r="AH33" s="2400"/>
      <c r="AI33" s="2400"/>
      <c r="AJ33" s="1756"/>
    </row>
    <row r="34" spans="1:37">
      <c r="B34" s="2992" t="s">
        <v>2687</v>
      </c>
      <c r="C34" s="2992"/>
      <c r="D34" s="2992"/>
      <c r="E34" s="2992"/>
      <c r="F34" s="2992"/>
      <c r="G34" s="2992"/>
      <c r="H34" s="2992"/>
      <c r="I34" s="2992"/>
      <c r="J34" s="2992"/>
      <c r="K34" s="2992"/>
      <c r="L34" s="2992"/>
      <c r="M34" s="2992"/>
      <c r="N34" s="2992"/>
      <c r="O34" s="2992"/>
      <c r="P34" s="2992"/>
      <c r="Q34" s="2992"/>
      <c r="R34" s="2992"/>
      <c r="S34" s="2992"/>
      <c r="U34" s="904"/>
      <c r="V34" s="896"/>
      <c r="W34" s="2257"/>
      <c r="X34" s="2257"/>
      <c r="Y34" s="2257"/>
      <c r="Z34" s="2257"/>
      <c r="AA34" s="2257"/>
      <c r="AB34" s="2257"/>
      <c r="AC34" s="2257"/>
      <c r="AD34" s="2257"/>
      <c r="AE34" s="2257"/>
      <c r="AF34" s="2257"/>
      <c r="AG34" s="2257"/>
      <c r="AH34" s="2257"/>
      <c r="AI34" s="2257"/>
      <c r="AJ34" s="1043"/>
    </row>
    <row r="35" spans="1:37" ht="15" customHeight="1">
      <c r="B35" s="2688" t="s">
        <v>2688</v>
      </c>
      <c r="C35" s="2666"/>
      <c r="D35" s="2688" t="s">
        <v>2689</v>
      </c>
      <c r="E35" s="2666"/>
      <c r="F35" s="2688" t="s">
        <v>2690</v>
      </c>
      <c r="G35" s="2666"/>
      <c r="H35" s="2688" t="s">
        <v>2691</v>
      </c>
      <c r="I35" s="2666"/>
      <c r="J35" s="2688" t="s">
        <v>2692</v>
      </c>
      <c r="K35" s="2666"/>
      <c r="L35" s="2688" t="s">
        <v>2693</v>
      </c>
      <c r="M35" s="2666"/>
      <c r="T35" s="1283"/>
      <c r="U35" s="1402"/>
      <c r="AJ35" s="1043"/>
    </row>
    <row r="36" spans="1:37">
      <c r="A36" s="25"/>
      <c r="B36" s="33"/>
      <c r="C36" s="23"/>
      <c r="D36" s="33"/>
      <c r="E36" s="23"/>
      <c r="F36" s="33"/>
      <c r="G36" s="23"/>
      <c r="H36" s="33"/>
      <c r="I36" s="23"/>
      <c r="J36" s="33"/>
      <c r="K36" s="23"/>
      <c r="L36" s="33"/>
      <c r="M36" s="23"/>
      <c r="N36" s="119"/>
      <c r="O36" s="119"/>
      <c r="P36" s="119"/>
      <c r="Q36" s="119"/>
      <c r="R36" s="119"/>
      <c r="S36" s="119"/>
      <c r="T36" s="119"/>
      <c r="U36" s="1891"/>
      <c r="V36" s="1892"/>
      <c r="W36" s="1893"/>
      <c r="X36" s="1893"/>
      <c r="Y36" s="1893"/>
      <c r="Z36" s="1893"/>
      <c r="AA36" s="1893"/>
      <c r="AB36" s="1893"/>
      <c r="AC36" s="1893"/>
      <c r="AD36" s="1893"/>
      <c r="AE36" s="1893"/>
      <c r="AF36" s="1893"/>
      <c r="AG36" s="1893"/>
      <c r="AH36" s="1893"/>
      <c r="AI36" s="1562"/>
      <c r="AJ36" s="1869"/>
    </row>
    <row r="37" spans="1:37">
      <c r="A37" s="25"/>
      <c r="B37" s="662"/>
      <c r="C37" s="652"/>
      <c r="D37" s="662"/>
      <c r="E37" s="652"/>
      <c r="F37" s="662"/>
      <c r="G37" s="652"/>
      <c r="H37" s="662"/>
      <c r="I37" s="652"/>
      <c r="J37" s="662"/>
      <c r="K37" s="652"/>
      <c r="L37" s="662"/>
      <c r="M37" s="652"/>
      <c r="U37" s="2837">
        <f>U33+0.01</f>
        <v>18.13000000000002</v>
      </c>
      <c r="V37" s="2838"/>
      <c r="W37" s="2991" t="s">
        <v>2694</v>
      </c>
      <c r="X37" s="2991"/>
      <c r="Y37" s="2991"/>
      <c r="Z37" s="2991"/>
      <c r="AA37" s="2991"/>
      <c r="AB37" s="2991"/>
      <c r="AC37" s="2991"/>
      <c r="AD37" s="2991"/>
      <c r="AE37" s="2991"/>
      <c r="AF37" s="2991"/>
      <c r="AG37" s="2991"/>
      <c r="AH37" s="2991"/>
      <c r="AI37" s="1458"/>
      <c r="AJ37" s="1756"/>
    </row>
    <row r="38" spans="1:37">
      <c r="A38" s="25"/>
      <c r="B38" s="2688" t="s">
        <v>2695</v>
      </c>
      <c r="C38" s="2666"/>
      <c r="D38" s="2688" t="s">
        <v>2696</v>
      </c>
      <c r="E38" s="2666"/>
      <c r="F38" s="2688" t="s">
        <v>2697</v>
      </c>
      <c r="G38" s="2666"/>
      <c r="H38" s="2688" t="s">
        <v>2698</v>
      </c>
      <c r="I38" s="2666"/>
      <c r="J38" s="2688" t="s">
        <v>2699</v>
      </c>
      <c r="K38" s="2666"/>
      <c r="L38" s="2688" t="s">
        <v>2700</v>
      </c>
      <c r="M38" s="2666"/>
      <c r="U38" s="1402"/>
      <c r="W38" s="2651"/>
      <c r="X38" s="2651"/>
      <c r="Y38" s="2651"/>
      <c r="Z38" s="2651"/>
      <c r="AA38" s="2651"/>
      <c r="AB38" s="2651"/>
      <c r="AC38" s="2651"/>
      <c r="AD38" s="2651"/>
      <c r="AE38" s="2651"/>
      <c r="AF38" s="2651"/>
      <c r="AG38" s="2651"/>
      <c r="AH38" s="2651"/>
      <c r="AJ38" s="1043"/>
    </row>
    <row r="39" spans="1:37">
      <c r="A39" s="25"/>
      <c r="B39" s="33"/>
      <c r="C39" s="23"/>
      <c r="D39" s="33"/>
      <c r="E39" s="23"/>
      <c r="F39" s="33"/>
      <c r="G39" s="23"/>
      <c r="H39" s="33"/>
      <c r="I39" s="23"/>
      <c r="J39" s="33"/>
      <c r="K39" s="23"/>
      <c r="L39" s="33"/>
      <c r="M39" s="23"/>
      <c r="U39" s="1402"/>
      <c r="AJ39" s="1043"/>
    </row>
    <row r="40" spans="1:37" s="663" customFormat="1">
      <c r="A40" s="662"/>
      <c r="B40" s="662"/>
      <c r="C40" s="652"/>
      <c r="D40" s="662"/>
      <c r="E40" s="652"/>
      <c r="F40" s="662"/>
      <c r="G40" s="652"/>
      <c r="H40" s="662"/>
      <c r="I40" s="652"/>
      <c r="J40" s="662"/>
      <c r="K40" s="652"/>
      <c r="L40" s="662"/>
      <c r="M40" s="652"/>
      <c r="U40" s="1891"/>
      <c r="V40" s="1892"/>
      <c r="W40" s="1892"/>
      <c r="X40" s="1892"/>
      <c r="Y40" s="1892"/>
      <c r="Z40" s="1892"/>
      <c r="AA40" s="1892"/>
      <c r="AB40" s="1892"/>
      <c r="AC40" s="1892"/>
      <c r="AD40" s="1892"/>
      <c r="AE40" s="1892"/>
      <c r="AF40" s="1892"/>
      <c r="AG40" s="1892"/>
      <c r="AH40" s="1892"/>
      <c r="AI40" s="1892"/>
      <c r="AJ40" s="1869"/>
      <c r="AK40" s="1892"/>
    </row>
    <row r="44" spans="1:37">
      <c r="B44" s="2999">
        <f>U37+0.01</f>
        <v>18.140000000000022</v>
      </c>
      <c r="C44" s="2999"/>
      <c r="D44" s="2999"/>
      <c r="E44" s="2999"/>
      <c r="F44" s="2999"/>
      <c r="G44" s="2999">
        <f>B44+0.01</f>
        <v>18.150000000000023</v>
      </c>
      <c r="H44" s="2999"/>
      <c r="I44" s="2999"/>
      <c r="J44" s="2999"/>
      <c r="K44" s="2999"/>
      <c r="L44" s="2999"/>
      <c r="M44" s="2999"/>
      <c r="N44" s="2999"/>
      <c r="O44" s="2999">
        <f>G44+0.01</f>
        <v>18.160000000000025</v>
      </c>
      <c r="P44" s="2999"/>
      <c r="Q44" s="2999"/>
      <c r="R44" s="2999"/>
      <c r="S44" s="2999"/>
      <c r="T44" s="2999"/>
      <c r="U44" s="2999"/>
      <c r="V44" s="2999"/>
      <c r="W44" s="2999"/>
      <c r="X44" s="2999"/>
      <c r="Y44" s="2999"/>
      <c r="Z44" s="2999"/>
      <c r="AA44" s="2999"/>
      <c r="AB44" s="2999"/>
      <c r="AC44" s="2999"/>
    </row>
    <row r="45" spans="1:37" ht="14.45" customHeight="1">
      <c r="B45" s="2993" t="s">
        <v>2701</v>
      </c>
      <c r="C45" s="2994"/>
      <c r="D45" s="2994"/>
      <c r="E45" s="2994"/>
      <c r="F45" s="2606"/>
      <c r="G45" s="2993" t="s">
        <v>2702</v>
      </c>
      <c r="H45" s="2994"/>
      <c r="I45" s="2994"/>
      <c r="J45" s="2994"/>
      <c r="K45" s="2994"/>
      <c r="L45" s="2994"/>
      <c r="M45" s="2994"/>
      <c r="N45" s="2606"/>
      <c r="O45" s="2993" t="s">
        <v>2703</v>
      </c>
      <c r="P45" s="2994"/>
      <c r="Q45" s="2994"/>
      <c r="R45" s="2994"/>
      <c r="S45" s="2994"/>
      <c r="T45" s="2994"/>
      <c r="U45" s="2994"/>
      <c r="V45" s="2994"/>
      <c r="W45" s="2994"/>
      <c r="X45" s="2994"/>
      <c r="Y45" s="2994"/>
      <c r="Z45" s="2994"/>
      <c r="AA45" s="2994"/>
      <c r="AB45" s="2994"/>
      <c r="AC45" s="2606"/>
    </row>
    <row r="46" spans="1:37" ht="14.45" customHeight="1">
      <c r="B46" s="2217"/>
      <c r="C46" s="2319"/>
      <c r="D46" s="2319"/>
      <c r="E46" s="2319"/>
      <c r="F46" s="2342"/>
      <c r="G46" s="2217"/>
      <c r="H46" s="2319"/>
      <c r="I46" s="2319"/>
      <c r="J46" s="2319"/>
      <c r="K46" s="2319"/>
      <c r="L46" s="2319"/>
      <c r="M46" s="2319"/>
      <c r="N46" s="2342"/>
      <c r="O46" s="2217"/>
      <c r="P46" s="2319"/>
      <c r="Q46" s="2319"/>
      <c r="R46" s="2319"/>
      <c r="S46" s="2319"/>
      <c r="T46" s="2319"/>
      <c r="U46" s="2319"/>
      <c r="V46" s="2319"/>
      <c r="W46" s="2319"/>
      <c r="X46" s="2319"/>
      <c r="Y46" s="2319"/>
      <c r="Z46" s="2319"/>
      <c r="AA46" s="2319"/>
      <c r="AB46" s="2319"/>
      <c r="AC46" s="2342"/>
      <c r="AD46" s="1402"/>
    </row>
    <row r="47" spans="1:37" ht="14.45" customHeight="1">
      <c r="B47" s="2217"/>
      <c r="C47" s="2319"/>
      <c r="D47" s="2319"/>
      <c r="E47" s="2319"/>
      <c r="F47" s="2342"/>
      <c r="G47" s="2217"/>
      <c r="H47" s="2319"/>
      <c r="I47" s="2319"/>
      <c r="J47" s="2319"/>
      <c r="K47" s="2319"/>
      <c r="L47" s="2319"/>
      <c r="M47" s="2319"/>
      <c r="N47" s="2342"/>
      <c r="O47" s="2217"/>
      <c r="P47" s="2319"/>
      <c r="Q47" s="2319"/>
      <c r="R47" s="2319"/>
      <c r="S47" s="2319"/>
      <c r="T47" s="2319"/>
      <c r="U47" s="2319"/>
      <c r="V47" s="2319"/>
      <c r="W47" s="2319"/>
      <c r="X47" s="2319"/>
      <c r="Y47" s="2319"/>
      <c r="Z47" s="2319"/>
      <c r="AA47" s="2319"/>
      <c r="AB47" s="2319"/>
      <c r="AC47" s="2342"/>
      <c r="AD47" s="1402"/>
    </row>
    <row r="48" spans="1:37" ht="14.45" customHeight="1">
      <c r="B48" s="2217"/>
      <c r="C48" s="2319"/>
      <c r="D48" s="2319"/>
      <c r="E48" s="2319"/>
      <c r="F48" s="2342"/>
      <c r="G48" s="2217"/>
      <c r="H48" s="2319"/>
      <c r="I48" s="2319"/>
      <c r="J48" s="2319"/>
      <c r="K48" s="2319"/>
      <c r="L48" s="2319"/>
      <c r="M48" s="2319"/>
      <c r="N48" s="2342"/>
      <c r="O48" s="2995"/>
      <c r="P48" s="2996"/>
      <c r="Q48" s="2996"/>
      <c r="R48" s="2996"/>
      <c r="S48" s="2996"/>
      <c r="T48" s="2996"/>
      <c r="U48" s="2996"/>
      <c r="V48" s="2996"/>
      <c r="W48" s="2996"/>
      <c r="X48" s="2996"/>
      <c r="Y48" s="2996"/>
      <c r="Z48" s="2996"/>
      <c r="AA48" s="2996"/>
      <c r="AB48" s="2996"/>
      <c r="AC48" s="2608"/>
    </row>
    <row r="49" spans="1:29" ht="14.45" customHeight="1">
      <c r="B49" s="2995"/>
      <c r="C49" s="2996"/>
      <c r="D49" s="2996"/>
      <c r="E49" s="2996"/>
      <c r="F49" s="2608"/>
      <c r="G49" s="2995"/>
      <c r="H49" s="2996"/>
      <c r="I49" s="2996"/>
      <c r="J49" s="2996"/>
      <c r="K49" s="2996"/>
      <c r="L49" s="2996"/>
      <c r="M49" s="2996"/>
      <c r="N49" s="2608"/>
      <c r="O49" s="2997" t="s">
        <v>2704</v>
      </c>
      <c r="P49" s="2997"/>
      <c r="Q49" s="2997"/>
      <c r="R49" s="2997"/>
      <c r="S49" s="3000" t="s">
        <v>2705</v>
      </c>
      <c r="T49" s="3001"/>
      <c r="U49" s="3002"/>
      <c r="V49" s="2998" t="s">
        <v>2706</v>
      </c>
      <c r="W49" s="2998"/>
      <c r="X49" s="2998"/>
      <c r="Y49" s="2998"/>
      <c r="Z49" s="2998" t="s">
        <v>2616</v>
      </c>
      <c r="AA49" s="2998"/>
      <c r="AB49" s="2998"/>
      <c r="AC49" s="2998"/>
    </row>
    <row r="50" spans="1:29" ht="14.45" customHeight="1">
      <c r="B50" s="2688" t="s">
        <v>2707</v>
      </c>
      <c r="C50" s="2665"/>
      <c r="D50" s="2666"/>
      <c r="E50" s="48" t="s">
        <v>2200</v>
      </c>
      <c r="F50" s="35"/>
      <c r="G50" s="2688" t="s">
        <v>2428</v>
      </c>
      <c r="H50" s="2665"/>
      <c r="I50" s="2665"/>
      <c r="J50" s="2666"/>
      <c r="K50" s="2688" t="s">
        <v>2708</v>
      </c>
      <c r="L50" s="2665"/>
      <c r="M50" s="2665"/>
      <c r="N50" s="2666"/>
      <c r="O50" s="2973" t="s">
        <v>2428</v>
      </c>
      <c r="P50" s="2975"/>
      <c r="Q50" s="2688" t="s">
        <v>2526</v>
      </c>
      <c r="R50" s="2666"/>
      <c r="S50" s="2973" t="s">
        <v>2428</v>
      </c>
      <c r="T50" s="2975"/>
      <c r="U50" s="1405" t="s">
        <v>2526</v>
      </c>
      <c r="V50" s="2662" t="s">
        <v>2428</v>
      </c>
      <c r="W50" s="2664"/>
      <c r="X50" s="2662" t="s">
        <v>2526</v>
      </c>
      <c r="Y50" s="2664"/>
      <c r="Z50" s="2662" t="s">
        <v>2428</v>
      </c>
      <c r="AA50" s="2664"/>
      <c r="AB50" s="2662" t="s">
        <v>2526</v>
      </c>
      <c r="AC50" s="2664"/>
    </row>
    <row r="51" spans="1:29" ht="14.45" customHeight="1">
      <c r="A51" s="24">
        <v>1</v>
      </c>
      <c r="B51" s="48" t="s">
        <v>2709</v>
      </c>
      <c r="D51" s="37"/>
      <c r="E51" s="48"/>
      <c r="F51" s="37"/>
      <c r="G51" s="48"/>
      <c r="H51" s="35"/>
      <c r="I51" s="35"/>
      <c r="J51" s="37"/>
      <c r="K51" s="48" t="s">
        <v>2710</v>
      </c>
      <c r="L51" s="35"/>
      <c r="M51" s="35"/>
      <c r="N51" s="37"/>
      <c r="O51" s="48"/>
      <c r="P51" s="37"/>
      <c r="Q51" s="48"/>
      <c r="R51" s="37"/>
      <c r="S51" s="48"/>
      <c r="T51" s="37"/>
      <c r="U51" s="1405"/>
      <c r="V51" s="1804"/>
      <c r="W51" s="1808"/>
      <c r="X51" s="1804"/>
      <c r="Y51" s="1808"/>
      <c r="Z51" s="1804"/>
      <c r="AA51" s="1808"/>
      <c r="AB51" s="1804"/>
      <c r="AC51" s="1808"/>
    </row>
    <row r="52" spans="1:29" ht="14.45" customHeight="1">
      <c r="A52" s="24">
        <v>2</v>
      </c>
      <c r="B52" s="36" t="s">
        <v>2711</v>
      </c>
      <c r="C52" s="35"/>
      <c r="E52" s="48"/>
      <c r="F52" s="37"/>
      <c r="G52" s="48"/>
      <c r="H52" s="35"/>
      <c r="I52" s="35"/>
      <c r="J52" s="37"/>
      <c r="K52" s="48" t="s">
        <v>2710</v>
      </c>
      <c r="L52" s="35"/>
      <c r="M52" s="35"/>
      <c r="N52" s="37"/>
      <c r="O52" s="48"/>
      <c r="P52" s="37"/>
      <c r="Q52" s="48"/>
      <c r="R52" s="37"/>
      <c r="S52" s="48"/>
      <c r="T52" s="37"/>
      <c r="U52" s="1405"/>
      <c r="V52" s="1804"/>
      <c r="W52" s="1808"/>
      <c r="X52" s="1804"/>
      <c r="Y52" s="1808"/>
      <c r="Z52" s="1804"/>
      <c r="AA52" s="1808"/>
      <c r="AB52" s="1804"/>
      <c r="AC52" s="1808"/>
    </row>
    <row r="53" spans="1:29" ht="14.45" customHeight="1">
      <c r="A53" s="24">
        <v>3</v>
      </c>
      <c r="B53" s="48" t="s">
        <v>2712</v>
      </c>
      <c r="C53" s="35"/>
      <c r="D53" s="37"/>
      <c r="E53" s="48"/>
      <c r="F53" s="37"/>
      <c r="G53" s="48"/>
      <c r="H53" s="35"/>
      <c r="I53" s="35"/>
      <c r="J53" s="37"/>
      <c r="K53" s="48" t="s">
        <v>2710</v>
      </c>
      <c r="L53" s="35"/>
      <c r="M53" s="35"/>
      <c r="N53" s="37"/>
      <c r="O53" s="48"/>
      <c r="P53" s="37"/>
      <c r="Q53" s="48"/>
      <c r="R53" s="37"/>
      <c r="S53" s="48"/>
      <c r="T53" s="37"/>
      <c r="U53" s="1405"/>
      <c r="V53" s="1804"/>
      <c r="W53" s="1808"/>
      <c r="X53" s="1804"/>
      <c r="Y53" s="1808"/>
      <c r="Z53" s="1804"/>
      <c r="AA53" s="1808"/>
      <c r="AB53" s="1804"/>
      <c r="AC53" s="1808"/>
    </row>
    <row r="54" spans="1:29" ht="14.45" customHeight="1">
      <c r="A54" s="24">
        <v>4</v>
      </c>
      <c r="B54" s="48" t="s">
        <v>2713</v>
      </c>
      <c r="C54" s="35"/>
      <c r="D54" s="37"/>
      <c r="E54" s="48"/>
      <c r="F54" s="37"/>
      <c r="G54" s="48"/>
      <c r="H54" s="35"/>
      <c r="I54" s="35"/>
      <c r="J54" s="37"/>
      <c r="K54" s="48" t="s">
        <v>2714</v>
      </c>
      <c r="L54" s="35"/>
      <c r="M54" s="35"/>
      <c r="N54" s="37"/>
      <c r="O54" s="48"/>
      <c r="P54" s="37"/>
      <c r="Q54" s="48"/>
      <c r="R54" s="37"/>
      <c r="S54" s="48"/>
      <c r="T54" s="37"/>
      <c r="U54" s="1405"/>
      <c r="V54" s="1804"/>
      <c r="W54" s="1808"/>
      <c r="X54" s="1804"/>
      <c r="Y54" s="1808"/>
      <c r="Z54" s="1804"/>
      <c r="AA54" s="1808"/>
      <c r="AB54" s="1804"/>
      <c r="AC54" s="1808"/>
    </row>
    <row r="55" spans="1:29" ht="14.45" customHeight="1">
      <c r="A55" s="24">
        <v>5</v>
      </c>
      <c r="B55" s="48" t="s">
        <v>2715</v>
      </c>
      <c r="C55" s="35"/>
      <c r="D55" s="37"/>
      <c r="E55" s="48"/>
      <c r="F55" s="37"/>
      <c r="G55" s="48"/>
      <c r="H55" s="35"/>
      <c r="I55" s="35"/>
      <c r="J55" s="37"/>
      <c r="K55" s="48" t="s">
        <v>2714</v>
      </c>
      <c r="L55" s="35"/>
      <c r="M55" s="35"/>
      <c r="N55" s="37"/>
      <c r="O55" s="48"/>
      <c r="P55" s="37"/>
      <c r="Q55" s="48"/>
      <c r="R55" s="37"/>
      <c r="S55" s="48"/>
      <c r="T55" s="37"/>
      <c r="U55" s="1405"/>
      <c r="V55" s="1804"/>
      <c r="W55" s="1808"/>
      <c r="X55" s="1804"/>
      <c r="Y55" s="1808"/>
      <c r="Z55" s="1804"/>
      <c r="AA55" s="1808"/>
      <c r="AB55" s="1804"/>
      <c r="AC55" s="1808"/>
    </row>
    <row r="56" spans="1:29" ht="14.45" customHeight="1">
      <c r="A56" s="24">
        <v>6</v>
      </c>
      <c r="B56" s="48" t="s">
        <v>2716</v>
      </c>
      <c r="C56" s="35"/>
      <c r="D56" s="37"/>
      <c r="E56" s="48"/>
      <c r="F56" s="37"/>
      <c r="G56" s="48"/>
      <c r="H56" s="35"/>
      <c r="I56" s="35"/>
      <c r="J56" s="37"/>
      <c r="K56" s="48" t="s">
        <v>2714</v>
      </c>
      <c r="L56" s="35"/>
      <c r="M56" s="35"/>
      <c r="N56" s="37"/>
      <c r="O56" s="48"/>
      <c r="P56" s="37"/>
      <c r="Q56" s="48"/>
      <c r="R56" s="37"/>
      <c r="S56" s="48"/>
      <c r="T56" s="37"/>
      <c r="U56" s="1405"/>
      <c r="V56" s="1804"/>
      <c r="W56" s="1808"/>
      <c r="X56" s="1804"/>
      <c r="Y56" s="1808"/>
      <c r="Z56" s="1804"/>
      <c r="AA56" s="1808"/>
      <c r="AB56" s="1804"/>
      <c r="AC56" s="1808"/>
    </row>
    <row r="57" spans="1:29" ht="14.45" customHeight="1">
      <c r="A57" s="24">
        <v>7</v>
      </c>
      <c r="B57" s="48" t="s">
        <v>2717</v>
      </c>
      <c r="C57" s="35"/>
      <c r="D57" s="37"/>
      <c r="E57" s="48"/>
      <c r="F57" s="37"/>
      <c r="G57" s="48"/>
      <c r="H57" s="35"/>
      <c r="I57" s="35"/>
      <c r="J57" s="37"/>
      <c r="K57" s="48" t="s">
        <v>2714</v>
      </c>
      <c r="L57" s="35"/>
      <c r="M57" s="35"/>
      <c r="N57" s="37"/>
      <c r="O57" s="48"/>
      <c r="P57" s="37"/>
      <c r="Q57" s="48"/>
      <c r="R57" s="37"/>
      <c r="S57" s="48"/>
      <c r="T57" s="37"/>
      <c r="U57" s="1405"/>
      <c r="V57" s="1804"/>
      <c r="W57" s="1808"/>
      <c r="X57" s="1804"/>
      <c r="Y57" s="1808"/>
      <c r="Z57" s="1804"/>
      <c r="AA57" s="1808"/>
      <c r="AB57" s="1804"/>
      <c r="AC57" s="1808"/>
    </row>
    <row r="58" spans="1:29" ht="14.45" customHeight="1">
      <c r="A58" s="24">
        <v>8</v>
      </c>
      <c r="B58" s="48" t="s">
        <v>2624</v>
      </c>
      <c r="C58" s="35"/>
      <c r="D58" s="37"/>
      <c r="E58" s="48"/>
      <c r="F58" s="37"/>
      <c r="G58" s="48"/>
      <c r="H58" s="35"/>
      <c r="I58" s="35"/>
      <c r="J58" s="37"/>
      <c r="K58" s="48" t="s">
        <v>2714</v>
      </c>
      <c r="L58" s="35"/>
      <c r="M58" s="35"/>
      <c r="N58" s="37"/>
      <c r="O58" s="48"/>
      <c r="P58" s="37"/>
      <c r="Q58" s="48"/>
      <c r="R58" s="37"/>
      <c r="S58" s="48"/>
      <c r="T58" s="37"/>
      <c r="U58" s="1405"/>
      <c r="V58" s="1804"/>
      <c r="W58" s="1808"/>
      <c r="X58" s="1804"/>
      <c r="Y58" s="1808"/>
      <c r="Z58" s="1804"/>
      <c r="AA58" s="1808"/>
      <c r="AB58" s="1804"/>
      <c r="AC58" s="1808"/>
    </row>
    <row r="59" spans="1:29" ht="14.45" customHeight="1">
      <c r="A59" s="24">
        <v>9</v>
      </c>
      <c r="B59" s="48" t="s">
        <v>2718</v>
      </c>
      <c r="C59" s="35"/>
      <c r="D59" s="37"/>
      <c r="E59" s="48"/>
      <c r="F59" s="37"/>
      <c r="G59" s="48"/>
      <c r="H59" s="35"/>
      <c r="I59" s="35"/>
      <c r="J59" s="37"/>
      <c r="K59" s="48" t="s">
        <v>2714</v>
      </c>
      <c r="L59" s="35"/>
      <c r="M59" s="35"/>
      <c r="N59" s="37"/>
      <c r="O59" s="48"/>
      <c r="P59" s="37"/>
      <c r="Q59" s="48"/>
      <c r="R59" s="37"/>
      <c r="S59" s="48"/>
      <c r="T59" s="37"/>
      <c r="U59" s="1405"/>
      <c r="V59" s="1804"/>
      <c r="W59" s="1808"/>
      <c r="X59" s="1804"/>
      <c r="Y59" s="1808"/>
      <c r="Z59" s="1804"/>
      <c r="AA59" s="1808"/>
      <c r="AB59" s="1804"/>
      <c r="AC59" s="1808"/>
    </row>
    <row r="60" spans="1:29" ht="14.45" customHeight="1"/>
    <row r="61" spans="1:29" ht="14.45" customHeight="1">
      <c r="B61" s="2999">
        <f>O44+0.01</f>
        <v>18.170000000000027</v>
      </c>
      <c r="C61" s="2999"/>
      <c r="D61" s="1284"/>
      <c r="E61" s="1284"/>
      <c r="F61" s="1284"/>
      <c r="H61" s="3004">
        <f>B61+0.01</f>
        <v>18.180000000000028</v>
      </c>
      <c r="I61" s="3004"/>
      <c r="P61" s="3004">
        <f>H61+0.01</f>
        <v>18.19000000000003</v>
      </c>
      <c r="Q61" s="3004"/>
      <c r="V61" s="896">
        <f>H61+0.01</f>
        <v>18.19000000000003</v>
      </c>
      <c r="W61" s="1894" t="s">
        <v>948</v>
      </c>
    </row>
    <row r="62" spans="1:29" ht="14.45" customHeight="1">
      <c r="A62" s="3005" t="s">
        <v>2719</v>
      </c>
      <c r="B62" s="3005"/>
      <c r="C62" s="3005"/>
      <c r="D62" s="3005"/>
      <c r="E62" s="3005"/>
      <c r="F62" s="3005"/>
      <c r="G62" s="3006" t="s">
        <v>2720</v>
      </c>
      <c r="H62" s="3007"/>
      <c r="I62" s="3007"/>
      <c r="J62" s="3007"/>
      <c r="K62" s="3007"/>
      <c r="L62" s="3007"/>
      <c r="M62" s="3008"/>
      <c r="N62" s="2207" t="s">
        <v>2721</v>
      </c>
      <c r="O62" s="2208"/>
      <c r="P62" s="2208"/>
      <c r="Q62" s="2208"/>
      <c r="R62" s="2208"/>
      <c r="S62" s="2209"/>
      <c r="T62" s="2997" t="s">
        <v>2722</v>
      </c>
      <c r="U62" s="2997"/>
      <c r="V62" s="2997"/>
      <c r="W62" s="2997"/>
      <c r="X62" s="2997"/>
      <c r="Y62" s="2997"/>
      <c r="Z62" s="2997"/>
      <c r="AA62" s="2997"/>
      <c r="AB62" s="2997"/>
      <c r="AC62" s="2997"/>
    </row>
    <row r="63" spans="1:29" ht="14.45" customHeight="1">
      <c r="A63" s="3005"/>
      <c r="B63" s="3005"/>
      <c r="C63" s="3005"/>
      <c r="D63" s="3005"/>
      <c r="E63" s="3005"/>
      <c r="F63" s="3005"/>
      <c r="G63" s="3009"/>
      <c r="H63" s="3010"/>
      <c r="I63" s="3010"/>
      <c r="J63" s="3010"/>
      <c r="K63" s="3010"/>
      <c r="L63" s="3010"/>
      <c r="M63" s="3011"/>
      <c r="N63" s="2213"/>
      <c r="O63" s="2214"/>
      <c r="P63" s="2214"/>
      <c r="Q63" s="2214"/>
      <c r="R63" s="2214"/>
      <c r="S63" s="2215"/>
      <c r="T63" s="2997"/>
      <c r="U63" s="2997"/>
      <c r="V63" s="2997"/>
      <c r="W63" s="2997"/>
      <c r="X63" s="2997"/>
      <c r="Y63" s="2997"/>
      <c r="Z63" s="2997"/>
      <c r="AA63" s="2997"/>
      <c r="AB63" s="2997"/>
      <c r="AC63" s="2997"/>
    </row>
    <row r="64" spans="1:29" ht="14.45" customHeight="1">
      <c r="A64" s="33">
        <v>1</v>
      </c>
      <c r="B64" s="602" t="s">
        <v>2723</v>
      </c>
      <c r="C64" s="602"/>
      <c r="D64" s="602"/>
      <c r="E64" s="602"/>
      <c r="F64" s="602"/>
      <c r="G64" s="33">
        <v>1</v>
      </c>
      <c r="H64" s="602" t="s">
        <v>2724</v>
      </c>
      <c r="I64" s="602"/>
      <c r="J64" s="602"/>
      <c r="K64" s="602"/>
      <c r="L64" s="602"/>
      <c r="M64" s="23"/>
      <c r="S64" s="23"/>
      <c r="T64" s="33"/>
      <c r="U64" s="1761"/>
      <c r="V64" s="1761"/>
      <c r="W64" s="1761"/>
      <c r="X64" s="1761"/>
      <c r="Y64" s="1761"/>
      <c r="Z64" s="1761"/>
      <c r="AA64" s="1761"/>
      <c r="AB64" s="1761"/>
      <c r="AC64" s="1756"/>
    </row>
    <row r="65" spans="1:37" ht="14.45" customHeight="1">
      <c r="A65" s="25">
        <v>2</v>
      </c>
      <c r="B65" s="24" t="s">
        <v>2725</v>
      </c>
      <c r="G65" s="25">
        <v>2</v>
      </c>
      <c r="H65" s="24" t="s">
        <v>2726</v>
      </c>
      <c r="M65" s="26"/>
      <c r="N65" s="36"/>
      <c r="O65" s="36"/>
      <c r="P65" s="36"/>
      <c r="Q65" s="36"/>
      <c r="R65" s="36"/>
      <c r="S65" s="36"/>
      <c r="T65" s="25" t="s">
        <v>2727</v>
      </c>
      <c r="AA65" s="2679" t="s">
        <v>420</v>
      </c>
      <c r="AB65" s="3029"/>
      <c r="AC65" s="1043"/>
    </row>
    <row r="66" spans="1:37" ht="14.45" customHeight="1">
      <c r="A66" s="25">
        <v>3</v>
      </c>
      <c r="B66" s="24" t="s">
        <v>2728</v>
      </c>
      <c r="G66" s="25">
        <v>3</v>
      </c>
      <c r="H66" s="24" t="s">
        <v>2729</v>
      </c>
      <c r="M66" s="26"/>
      <c r="S66" s="26"/>
      <c r="T66" s="25"/>
      <c r="AC66" s="1043"/>
    </row>
    <row r="67" spans="1:37" ht="14.45" customHeight="1">
      <c r="A67" s="662">
        <v>4</v>
      </c>
      <c r="B67" s="663" t="s">
        <v>1786</v>
      </c>
      <c r="C67" s="663"/>
      <c r="D67" s="663"/>
      <c r="E67" s="663"/>
      <c r="F67" s="663"/>
      <c r="G67" s="662">
        <v>4</v>
      </c>
      <c r="H67" s="663" t="s">
        <v>1786</v>
      </c>
      <c r="I67" s="663"/>
      <c r="J67" s="663"/>
      <c r="K67" s="663"/>
      <c r="L67" s="663"/>
      <c r="M67" s="652"/>
      <c r="N67" s="3019" t="s">
        <v>428</v>
      </c>
      <c r="O67" s="3020"/>
      <c r="P67" s="3020"/>
      <c r="Q67" s="3020"/>
      <c r="R67" s="3020"/>
      <c r="S67" s="3021"/>
      <c r="T67" s="662" t="s">
        <v>2730</v>
      </c>
      <c r="U67" s="1892"/>
      <c r="V67" s="1892"/>
      <c r="W67" s="1892"/>
      <c r="X67" s="1892"/>
      <c r="Y67" s="1892"/>
      <c r="Z67" s="1892"/>
      <c r="AA67" s="1892"/>
      <c r="AB67" s="1892"/>
      <c r="AC67" s="1869"/>
    </row>
    <row r="68" spans="1:37" s="1284" customFormat="1" ht="14.45" customHeight="1">
      <c r="A68" s="1285"/>
      <c r="B68" s="1285"/>
      <c r="C68" s="2976">
        <f>P61+0.01</f>
        <v>18.200000000000031</v>
      </c>
      <c r="D68" s="2976"/>
      <c r="I68" s="2836">
        <f>C68+0.01</f>
        <v>18.210000000000033</v>
      </c>
      <c r="J68" s="2836"/>
      <c r="O68" s="3028">
        <f>I68+0.01</f>
        <v>18.220000000000034</v>
      </c>
      <c r="P68" s="3028"/>
      <c r="Q68" s="3028"/>
      <c r="R68" s="3028"/>
      <c r="S68" s="3028"/>
      <c r="T68" s="3028"/>
      <c r="U68" s="3028"/>
      <c r="V68" s="3028"/>
      <c r="W68" s="3028"/>
      <c r="X68" s="3028"/>
      <c r="Y68" s="3028"/>
      <c r="Z68" s="3028"/>
      <c r="AA68" s="3028"/>
      <c r="AB68" s="3028"/>
      <c r="AC68" s="3028"/>
      <c r="AD68" s="880"/>
      <c r="AE68" s="880"/>
      <c r="AF68" s="880"/>
      <c r="AG68" s="880"/>
      <c r="AH68" s="880"/>
      <c r="AI68" s="880"/>
      <c r="AJ68" s="880"/>
      <c r="AK68" s="880"/>
    </row>
    <row r="69" spans="1:37" s="1284" customFormat="1" ht="14.45" customHeight="1">
      <c r="A69" s="2964" t="s">
        <v>2731</v>
      </c>
      <c r="B69" s="2965"/>
      <c r="C69" s="2965"/>
      <c r="D69" s="2965"/>
      <c r="E69" s="2965"/>
      <c r="F69" s="2966"/>
      <c r="G69" s="2981" t="s">
        <v>2732</v>
      </c>
      <c r="H69" s="2982"/>
      <c r="I69" s="2982"/>
      <c r="J69" s="2982"/>
      <c r="K69" s="2982"/>
      <c r="L69" s="2982"/>
      <c r="M69" s="2982"/>
      <c r="N69" s="2983"/>
      <c r="O69" s="2981" t="s">
        <v>2733</v>
      </c>
      <c r="P69" s="2982"/>
      <c r="Q69" s="2982"/>
      <c r="R69" s="2982"/>
      <c r="S69" s="2982"/>
      <c r="T69" s="2982"/>
      <c r="U69" s="2982"/>
      <c r="V69" s="2982"/>
      <c r="W69" s="2982"/>
      <c r="X69" s="2982"/>
      <c r="Y69" s="2982"/>
      <c r="Z69" s="2982"/>
      <c r="AA69" s="2982"/>
      <c r="AB69" s="2982"/>
      <c r="AC69" s="2983"/>
      <c r="AD69" s="880"/>
      <c r="AE69" s="880"/>
      <c r="AF69" s="880"/>
      <c r="AG69" s="880"/>
      <c r="AH69" s="880"/>
      <c r="AI69" s="880"/>
      <c r="AJ69" s="880"/>
      <c r="AK69" s="880"/>
    </row>
    <row r="70" spans="1:37" s="1284" customFormat="1" ht="14.45" customHeight="1">
      <c r="A70" s="2967"/>
      <c r="B70" s="2968"/>
      <c r="C70" s="2968"/>
      <c r="D70" s="2968"/>
      <c r="E70" s="2968"/>
      <c r="F70" s="2969"/>
      <c r="G70" s="2984"/>
      <c r="H70" s="2985"/>
      <c r="I70" s="2985"/>
      <c r="J70" s="2985"/>
      <c r="K70" s="2985"/>
      <c r="L70" s="2985"/>
      <c r="M70" s="2985"/>
      <c r="N70" s="2986"/>
      <c r="O70" s="2984"/>
      <c r="P70" s="2985"/>
      <c r="Q70" s="2985"/>
      <c r="R70" s="2985"/>
      <c r="S70" s="2985"/>
      <c r="T70" s="2985"/>
      <c r="U70" s="2985"/>
      <c r="V70" s="2985"/>
      <c r="W70" s="2985"/>
      <c r="X70" s="2985"/>
      <c r="Y70" s="2985"/>
      <c r="Z70" s="2985"/>
      <c r="AA70" s="2985"/>
      <c r="AB70" s="2985"/>
      <c r="AC70" s="2986"/>
      <c r="AD70" s="880"/>
      <c r="AE70" s="880"/>
      <c r="AF70" s="880"/>
      <c r="AG70" s="880"/>
      <c r="AH70" s="880"/>
      <c r="AI70" s="880"/>
      <c r="AJ70" s="880"/>
      <c r="AK70" s="880"/>
    </row>
    <row r="71" spans="1:37" s="1284" customFormat="1" ht="14.45" customHeight="1">
      <c r="A71" s="2967"/>
      <c r="B71" s="2968"/>
      <c r="C71" s="2968"/>
      <c r="D71" s="2968"/>
      <c r="E71" s="2968"/>
      <c r="F71" s="2969"/>
      <c r="G71" s="2984"/>
      <c r="H71" s="2985"/>
      <c r="I71" s="2985"/>
      <c r="J71" s="2985"/>
      <c r="K71" s="2985"/>
      <c r="L71" s="2985"/>
      <c r="M71" s="2985"/>
      <c r="N71" s="2986"/>
      <c r="O71" s="2984"/>
      <c r="P71" s="2985"/>
      <c r="Q71" s="2985"/>
      <c r="R71" s="2985"/>
      <c r="S71" s="2985"/>
      <c r="T71" s="2985"/>
      <c r="U71" s="2985"/>
      <c r="V71" s="2985"/>
      <c r="W71" s="2985"/>
      <c r="X71" s="2985"/>
      <c r="Y71" s="2985"/>
      <c r="Z71" s="2985"/>
      <c r="AA71" s="2985"/>
      <c r="AB71" s="2985"/>
      <c r="AC71" s="2986"/>
      <c r="AD71" s="880"/>
      <c r="AE71" s="880"/>
      <c r="AF71" s="880"/>
      <c r="AG71" s="880"/>
      <c r="AH71" s="880"/>
      <c r="AI71" s="880"/>
      <c r="AJ71" s="880"/>
      <c r="AK71" s="880"/>
    </row>
    <row r="72" spans="1:37" s="1284" customFormat="1" ht="14.45" customHeight="1">
      <c r="A72" s="2967"/>
      <c r="B72" s="2968"/>
      <c r="C72" s="2968"/>
      <c r="D72" s="2968"/>
      <c r="E72" s="2968"/>
      <c r="F72" s="2969"/>
      <c r="G72" s="2984"/>
      <c r="H72" s="2985"/>
      <c r="I72" s="2985"/>
      <c r="J72" s="2985"/>
      <c r="K72" s="2985"/>
      <c r="L72" s="2985"/>
      <c r="M72" s="2985"/>
      <c r="N72" s="2986"/>
      <c r="O72" s="2987"/>
      <c r="P72" s="2988"/>
      <c r="Q72" s="2988"/>
      <c r="R72" s="2988"/>
      <c r="S72" s="2988"/>
      <c r="T72" s="2988"/>
      <c r="U72" s="2988"/>
      <c r="V72" s="2988"/>
      <c r="W72" s="2988"/>
      <c r="X72" s="2988"/>
      <c r="Y72" s="2988"/>
      <c r="Z72" s="2988"/>
      <c r="AA72" s="2988"/>
      <c r="AB72" s="2988"/>
      <c r="AC72" s="2989"/>
      <c r="AD72" s="880"/>
      <c r="AE72" s="880"/>
      <c r="AF72" s="880"/>
      <c r="AG72" s="880"/>
      <c r="AH72" s="880"/>
      <c r="AI72" s="880"/>
      <c r="AJ72" s="880"/>
      <c r="AK72" s="880"/>
    </row>
    <row r="73" spans="1:37" s="1284" customFormat="1" ht="14.45" customHeight="1">
      <c r="A73" s="2970"/>
      <c r="B73" s="2971"/>
      <c r="C73" s="2971"/>
      <c r="D73" s="2971"/>
      <c r="E73" s="2971"/>
      <c r="F73" s="2972"/>
      <c r="G73" s="2987"/>
      <c r="H73" s="2988"/>
      <c r="I73" s="2988"/>
      <c r="J73" s="2988"/>
      <c r="K73" s="2988"/>
      <c r="L73" s="2988"/>
      <c r="M73" s="2988"/>
      <c r="N73" s="2989"/>
      <c r="O73" s="3005" t="s">
        <v>2704</v>
      </c>
      <c r="P73" s="3005"/>
      <c r="Q73" s="3005"/>
      <c r="R73" s="3005"/>
      <c r="S73" s="3025" t="s">
        <v>2705</v>
      </c>
      <c r="T73" s="3026"/>
      <c r="U73" s="3027"/>
      <c r="V73" s="2998" t="s">
        <v>2706</v>
      </c>
      <c r="W73" s="2998"/>
      <c r="X73" s="2998"/>
      <c r="Y73" s="2998"/>
      <c r="Z73" s="3022" t="s">
        <v>2616</v>
      </c>
      <c r="AA73" s="3023"/>
      <c r="AB73" s="3023"/>
      <c r="AC73" s="3024"/>
      <c r="AD73" s="880"/>
      <c r="AE73" s="880"/>
      <c r="AF73" s="880"/>
      <c r="AG73" s="880"/>
      <c r="AH73" s="880"/>
      <c r="AI73" s="880"/>
      <c r="AJ73" s="880"/>
      <c r="AK73" s="880"/>
    </row>
    <row r="74" spans="1:37" s="1284" customFormat="1" ht="14.45" customHeight="1">
      <c r="A74" s="2973" t="s">
        <v>2707</v>
      </c>
      <c r="B74" s="2974"/>
      <c r="C74" s="2974"/>
      <c r="D74" s="2975"/>
      <c r="E74" s="1301" t="s">
        <v>2200</v>
      </c>
      <c r="F74" s="1302"/>
      <c r="G74" s="2973" t="s">
        <v>2428</v>
      </c>
      <c r="H74" s="2974"/>
      <c r="I74" s="2974" t="s">
        <v>2429</v>
      </c>
      <c r="J74" s="2974"/>
      <c r="K74" s="2974"/>
      <c r="L74" s="2974"/>
      <c r="M74" s="2974"/>
      <c r="N74" s="2975"/>
      <c r="O74" s="2973" t="s">
        <v>2428</v>
      </c>
      <c r="P74" s="2975"/>
      <c r="Q74" s="2973" t="s">
        <v>2526</v>
      </c>
      <c r="R74" s="2975"/>
      <c r="S74" s="2973" t="s">
        <v>2428</v>
      </c>
      <c r="T74" s="2975"/>
      <c r="U74" s="1405" t="s">
        <v>2526</v>
      </c>
      <c r="V74" s="2662" t="s">
        <v>2428</v>
      </c>
      <c r="W74" s="2664"/>
      <c r="X74" s="2662" t="s">
        <v>2526</v>
      </c>
      <c r="Y74" s="2664"/>
      <c r="Z74" s="2662" t="s">
        <v>2428</v>
      </c>
      <c r="AA74" s="2664"/>
      <c r="AB74" s="2663" t="s">
        <v>2526</v>
      </c>
      <c r="AC74" s="2664"/>
      <c r="AD74" s="880"/>
      <c r="AE74" s="880"/>
      <c r="AF74" s="880"/>
      <c r="AG74" s="880"/>
      <c r="AH74" s="880"/>
      <c r="AI74" s="880"/>
      <c r="AJ74" s="880"/>
      <c r="AK74" s="880"/>
    </row>
    <row r="75" spans="1:37" s="1284" customFormat="1" ht="14.45" customHeight="1">
      <c r="A75" s="1284">
        <v>1</v>
      </c>
      <c r="B75" s="1887" t="s">
        <v>2709</v>
      </c>
      <c r="C75" s="1288"/>
      <c r="D75" s="1888"/>
      <c r="E75" s="1290"/>
      <c r="F75" s="1291"/>
      <c r="G75" s="1290"/>
      <c r="H75" s="1291"/>
      <c r="I75" s="2665" t="s">
        <v>2710</v>
      </c>
      <c r="J75" s="2665"/>
      <c r="K75" s="2665"/>
      <c r="L75" s="2665"/>
      <c r="M75" s="2665"/>
      <c r="N75" s="2665"/>
      <c r="O75" s="1290"/>
      <c r="P75" s="1291"/>
      <c r="Q75" s="1290"/>
      <c r="R75" s="1291"/>
      <c r="S75" s="1286"/>
      <c r="T75" s="1291"/>
      <c r="U75" s="1405"/>
      <c r="V75" s="1804"/>
      <c r="W75" s="1808"/>
      <c r="X75" s="1809"/>
      <c r="Y75" s="1809"/>
      <c r="Z75" s="1804"/>
      <c r="AA75" s="1808"/>
      <c r="AB75" s="1809"/>
      <c r="AC75" s="1808"/>
      <c r="AD75" s="880"/>
      <c r="AE75" s="880"/>
      <c r="AF75" s="880"/>
      <c r="AG75" s="880"/>
      <c r="AH75" s="880"/>
      <c r="AI75" s="880"/>
      <c r="AJ75" s="880"/>
      <c r="AK75" s="880"/>
    </row>
    <row r="76" spans="1:37" s="1284" customFormat="1" ht="14.45" customHeight="1">
      <c r="A76" s="1284">
        <v>2</v>
      </c>
      <c r="B76" s="1293" t="s">
        <v>2711</v>
      </c>
      <c r="C76" s="1294"/>
      <c r="D76" s="1289"/>
      <c r="E76" s="1290"/>
      <c r="F76" s="1291"/>
      <c r="G76" s="1290"/>
      <c r="H76" s="1291"/>
      <c r="I76" s="2665" t="s">
        <v>2710</v>
      </c>
      <c r="J76" s="2665"/>
      <c r="K76" s="2665"/>
      <c r="L76" s="2665"/>
      <c r="M76" s="2665"/>
      <c r="N76" s="2665"/>
      <c r="O76" s="1290"/>
      <c r="P76" s="1291"/>
      <c r="Q76" s="1290"/>
      <c r="R76" s="1291"/>
      <c r="S76" s="1286"/>
      <c r="T76" s="1291"/>
      <c r="U76" s="1405"/>
      <c r="V76" s="1804"/>
      <c r="W76" s="1808"/>
      <c r="X76" s="1809"/>
      <c r="Y76" s="1809"/>
      <c r="Z76" s="1804"/>
      <c r="AA76" s="1808"/>
      <c r="AB76" s="1809"/>
      <c r="AC76" s="1808"/>
      <c r="AD76" s="880"/>
      <c r="AE76" s="880"/>
      <c r="AF76" s="880"/>
      <c r="AG76" s="880"/>
      <c r="AH76" s="880"/>
      <c r="AI76" s="880"/>
      <c r="AJ76" s="880"/>
      <c r="AK76" s="880"/>
    </row>
    <row r="77" spans="1:37" s="1284" customFormat="1" ht="14.45" customHeight="1">
      <c r="A77" s="1284">
        <v>3</v>
      </c>
      <c r="B77" s="1287" t="s">
        <v>2712</v>
      </c>
      <c r="C77" s="1294"/>
      <c r="D77" s="1289"/>
      <c r="E77" s="1290"/>
      <c r="F77" s="1291"/>
      <c r="G77" s="1290"/>
      <c r="H77" s="1291"/>
      <c r="I77" s="2665" t="s">
        <v>2710</v>
      </c>
      <c r="J77" s="2665"/>
      <c r="K77" s="2665"/>
      <c r="L77" s="2665"/>
      <c r="M77" s="2665"/>
      <c r="N77" s="2665"/>
      <c r="O77" s="1290"/>
      <c r="P77" s="1291"/>
      <c r="Q77" s="1290"/>
      <c r="R77" s="1291"/>
      <c r="S77" s="1286"/>
      <c r="T77" s="1291"/>
      <c r="U77" s="1405"/>
      <c r="V77" s="1804"/>
      <c r="W77" s="1808"/>
      <c r="X77" s="1809"/>
      <c r="Y77" s="1809"/>
      <c r="Z77" s="1804"/>
      <c r="AA77" s="1808"/>
      <c r="AB77" s="1809"/>
      <c r="AC77" s="1808"/>
      <c r="AD77" s="880"/>
      <c r="AE77" s="880"/>
      <c r="AF77" s="880"/>
      <c r="AG77" s="880"/>
      <c r="AH77" s="880"/>
      <c r="AI77" s="880"/>
      <c r="AJ77" s="880"/>
      <c r="AK77" s="880"/>
    </row>
    <row r="78" spans="1:37" s="1284" customFormat="1" ht="14.45" customHeight="1">
      <c r="A78" s="1284">
        <v>4</v>
      </c>
      <c r="B78" s="1287" t="s">
        <v>2713</v>
      </c>
      <c r="C78" s="1294"/>
      <c r="D78" s="1289"/>
      <c r="E78" s="1290"/>
      <c r="F78" s="1291"/>
      <c r="G78" s="1290"/>
      <c r="H78" s="1291"/>
      <c r="I78" s="2665" t="s">
        <v>2710</v>
      </c>
      <c r="J78" s="2665"/>
      <c r="K78" s="2665"/>
      <c r="L78" s="2665"/>
      <c r="M78" s="2665"/>
      <c r="N78" s="2665"/>
      <c r="O78" s="1290"/>
      <c r="P78" s="1291"/>
      <c r="Q78" s="1290"/>
      <c r="R78" s="1291"/>
      <c r="S78" s="1286"/>
      <c r="T78" s="1291"/>
      <c r="U78" s="1405"/>
      <c r="V78" s="1804"/>
      <c r="W78" s="1808"/>
      <c r="X78" s="1809"/>
      <c r="Y78" s="1809"/>
      <c r="Z78" s="1804"/>
      <c r="AA78" s="1808"/>
      <c r="AB78" s="1809"/>
      <c r="AC78" s="1808"/>
      <c r="AD78" s="880"/>
      <c r="AE78" s="880"/>
      <c r="AF78" s="880"/>
      <c r="AG78" s="880"/>
      <c r="AH78" s="880"/>
      <c r="AI78" s="880"/>
      <c r="AJ78" s="880"/>
      <c r="AK78" s="880"/>
    </row>
    <row r="79" spans="1:37" s="1284" customFormat="1" ht="14.45" customHeight="1">
      <c r="A79" s="1284">
        <v>5</v>
      </c>
      <c r="B79" s="1293" t="s">
        <v>2734</v>
      </c>
      <c r="C79" s="1294"/>
      <c r="D79" s="1289"/>
      <c r="E79" s="1290"/>
      <c r="F79" s="1291"/>
      <c r="G79" s="1290"/>
      <c r="H79" s="1291"/>
      <c r="I79" s="2665" t="s">
        <v>2710</v>
      </c>
      <c r="J79" s="2665"/>
      <c r="K79" s="2665"/>
      <c r="L79" s="2665"/>
      <c r="M79" s="2665"/>
      <c r="N79" s="2665"/>
      <c r="O79" s="1290"/>
      <c r="P79" s="1291"/>
      <c r="Q79" s="1290"/>
      <c r="R79" s="1291"/>
      <c r="S79" s="1286"/>
      <c r="T79" s="1291"/>
      <c r="U79" s="1405"/>
      <c r="V79" s="1804"/>
      <c r="W79" s="1808"/>
      <c r="X79" s="1809"/>
      <c r="Y79" s="1809"/>
      <c r="Z79" s="1804"/>
      <c r="AA79" s="1808"/>
      <c r="AB79" s="1809"/>
      <c r="AC79" s="1808"/>
      <c r="AD79" s="880"/>
      <c r="AE79" s="880"/>
      <c r="AF79" s="880"/>
      <c r="AG79" s="880"/>
      <c r="AH79" s="880"/>
      <c r="AI79" s="880"/>
      <c r="AJ79" s="880"/>
      <c r="AK79" s="880"/>
    </row>
    <row r="80" spans="1:37" s="1284" customFormat="1" ht="14.45" customHeight="1">
      <c r="A80" s="1284">
        <v>6</v>
      </c>
      <c r="B80" s="1889" t="s">
        <v>2735</v>
      </c>
      <c r="C80" s="1890"/>
      <c r="E80" s="1290"/>
      <c r="F80" s="1291"/>
      <c r="G80" s="1290"/>
      <c r="H80" s="1291"/>
      <c r="I80" s="2665" t="s">
        <v>2710</v>
      </c>
      <c r="J80" s="2665"/>
      <c r="K80" s="2665"/>
      <c r="L80" s="2665"/>
      <c r="M80" s="2665"/>
      <c r="N80" s="2665"/>
      <c r="O80" s="1290"/>
      <c r="P80" s="1291"/>
      <c r="Q80" s="1290"/>
      <c r="R80" s="1291"/>
      <c r="S80" s="1286"/>
      <c r="T80" s="1291"/>
      <c r="U80" s="1405"/>
      <c r="V80" s="1804"/>
      <c r="W80" s="1808"/>
      <c r="X80" s="1809"/>
      <c r="Y80" s="1809"/>
      <c r="Z80" s="1804"/>
      <c r="AA80" s="1808"/>
      <c r="AB80" s="1809"/>
      <c r="AC80" s="1808"/>
      <c r="AD80" s="880"/>
      <c r="AE80" s="880"/>
      <c r="AF80" s="880"/>
      <c r="AG80" s="880"/>
      <c r="AH80" s="880"/>
      <c r="AI80" s="880"/>
      <c r="AJ80" s="880"/>
      <c r="AK80" s="880"/>
    </row>
    <row r="81" spans="1:40" s="1284" customFormat="1" ht="14.45" customHeight="1">
      <c r="A81" s="1284">
        <v>7</v>
      </c>
      <c r="B81" s="1293" t="s">
        <v>2717</v>
      </c>
      <c r="C81" s="1287"/>
      <c r="D81" s="1291"/>
      <c r="E81" s="1290"/>
      <c r="F81" s="1291"/>
      <c r="G81" s="1290"/>
      <c r="H81" s="1291"/>
      <c r="I81" s="2665" t="s">
        <v>2710</v>
      </c>
      <c r="J81" s="2665"/>
      <c r="K81" s="2665"/>
      <c r="L81" s="2665"/>
      <c r="M81" s="2665"/>
      <c r="N81" s="2665"/>
      <c r="O81" s="1290"/>
      <c r="P81" s="1291"/>
      <c r="Q81" s="1290"/>
      <c r="R81" s="1291"/>
      <c r="S81" s="1286"/>
      <c r="T81" s="1291"/>
      <c r="U81" s="1405"/>
      <c r="V81" s="1804"/>
      <c r="W81" s="1808"/>
      <c r="X81" s="1809"/>
      <c r="Y81" s="1809"/>
      <c r="Z81" s="1804"/>
      <c r="AA81" s="1808"/>
      <c r="AB81" s="1809"/>
      <c r="AC81" s="1808"/>
      <c r="AD81" s="880"/>
      <c r="AE81" s="880"/>
      <c r="AF81" s="880"/>
      <c r="AG81" s="880"/>
      <c r="AH81" s="880"/>
      <c r="AI81" s="880"/>
      <c r="AJ81" s="880"/>
      <c r="AK81" s="880"/>
    </row>
    <row r="82" spans="1:40" s="1284" customFormat="1" ht="14.45" customHeight="1">
      <c r="A82" s="1284">
        <v>8</v>
      </c>
      <c r="B82" s="1290" t="s">
        <v>844</v>
      </c>
      <c r="C82" s="1292"/>
      <c r="D82" s="1291"/>
      <c r="E82" s="1290"/>
      <c r="F82" s="1291"/>
      <c r="G82" s="1290"/>
      <c r="H82" s="1291"/>
      <c r="I82" s="2665" t="s">
        <v>2710</v>
      </c>
      <c r="J82" s="2665"/>
      <c r="K82" s="2665"/>
      <c r="L82" s="2665"/>
      <c r="M82" s="2665"/>
      <c r="N82" s="2665"/>
      <c r="O82" s="1290"/>
      <c r="P82" s="1291"/>
      <c r="Q82" s="1290"/>
      <c r="R82" s="1291"/>
      <c r="S82" s="1286"/>
      <c r="T82" s="1291"/>
      <c r="U82" s="1405"/>
      <c r="V82" s="1804"/>
      <c r="W82" s="1808"/>
      <c r="X82" s="1809"/>
      <c r="Y82" s="1809"/>
      <c r="Z82" s="1804"/>
      <c r="AA82" s="1808"/>
      <c r="AB82" s="1809"/>
      <c r="AC82" s="1808"/>
      <c r="AD82" s="880"/>
      <c r="AE82" s="880"/>
      <c r="AF82" s="880"/>
      <c r="AG82" s="880"/>
      <c r="AH82" s="880"/>
      <c r="AI82" s="880"/>
      <c r="AJ82" s="880"/>
      <c r="AK82" s="880"/>
    </row>
    <row r="83" spans="1:40" s="1284" customFormat="1" ht="14.45" customHeight="1">
      <c r="A83" s="1284">
        <v>9</v>
      </c>
      <c r="B83" s="1290" t="s">
        <v>2718</v>
      </c>
      <c r="C83" s="1292"/>
      <c r="D83" s="1291"/>
      <c r="E83" s="1290"/>
      <c r="F83" s="1291"/>
      <c r="G83" s="1290"/>
      <c r="H83" s="1291"/>
      <c r="I83" s="2665" t="s">
        <v>2710</v>
      </c>
      <c r="J83" s="2665"/>
      <c r="K83" s="2665"/>
      <c r="L83" s="2665"/>
      <c r="M83" s="2665"/>
      <c r="N83" s="2665"/>
      <c r="O83" s="1290"/>
      <c r="P83" s="1291"/>
      <c r="Q83" s="1290"/>
      <c r="R83" s="1291"/>
      <c r="S83" s="1286"/>
      <c r="T83" s="1286"/>
      <c r="U83" s="1405"/>
      <c r="V83" s="1804"/>
      <c r="W83" s="1808"/>
      <c r="X83" s="1809"/>
      <c r="Y83" s="1809"/>
      <c r="Z83" s="1804"/>
      <c r="AA83" s="1808"/>
      <c r="AB83" s="1809"/>
      <c r="AC83" s="1808"/>
      <c r="AD83" s="880"/>
      <c r="AE83" s="880"/>
      <c r="AF83" s="880"/>
      <c r="AG83" s="880"/>
      <c r="AH83" s="880"/>
      <c r="AI83" s="880"/>
      <c r="AJ83" s="880"/>
      <c r="AK83" s="880"/>
    </row>
    <row r="84" spans="1:40" s="1284" customFormat="1" ht="14.45" customHeight="1">
      <c r="C84" s="2836">
        <f>O68+0.01</f>
        <v>18.230000000000036</v>
      </c>
      <c r="D84" s="2836"/>
      <c r="H84" s="2836">
        <f>C84+0.01</f>
        <v>18.240000000000038</v>
      </c>
      <c r="I84" s="2836"/>
      <c r="O84" s="2976">
        <f>H84+0.01</f>
        <v>18.250000000000039</v>
      </c>
      <c r="P84" s="2976"/>
      <c r="T84" s="1295"/>
      <c r="U84" s="896">
        <f>H84+0.01</f>
        <v>18.250000000000039</v>
      </c>
      <c r="V84" s="1894" t="s">
        <v>948</v>
      </c>
      <c r="W84" s="880"/>
      <c r="X84" s="880"/>
      <c r="Y84" s="880"/>
      <c r="Z84" s="880"/>
      <c r="AA84" s="880"/>
      <c r="AB84" s="880"/>
      <c r="AC84" s="880"/>
      <c r="AD84" s="880"/>
      <c r="AE84" s="880"/>
      <c r="AF84" s="880"/>
      <c r="AG84" s="880"/>
      <c r="AH84" s="880"/>
      <c r="AI84" s="880"/>
      <c r="AJ84" s="880"/>
      <c r="AK84" s="880"/>
      <c r="AL84" s="24"/>
      <c r="AM84" s="24"/>
      <c r="AN84" s="24"/>
    </row>
    <row r="85" spans="1:40" s="1284" customFormat="1" ht="14.45" customHeight="1">
      <c r="A85" s="2977" t="s">
        <v>2736</v>
      </c>
      <c r="B85" s="2978"/>
      <c r="C85" s="2978"/>
      <c r="D85" s="2978"/>
      <c r="E85" s="2978"/>
      <c r="F85" s="2978"/>
      <c r="G85" s="2977" t="s">
        <v>2737</v>
      </c>
      <c r="H85" s="2978"/>
      <c r="I85" s="2978"/>
      <c r="J85" s="2978"/>
      <c r="K85" s="2978"/>
      <c r="L85" s="2978"/>
      <c r="M85" s="3013" t="s">
        <v>2738</v>
      </c>
      <c r="N85" s="3014"/>
      <c r="O85" s="3014"/>
      <c r="P85" s="3014"/>
      <c r="Q85" s="3014"/>
      <c r="R85" s="3014"/>
      <c r="S85" s="3015"/>
      <c r="T85" s="3012" t="s">
        <v>2722</v>
      </c>
      <c r="U85" s="3012"/>
      <c r="V85" s="3012"/>
      <c r="W85" s="3012"/>
      <c r="X85" s="3012"/>
      <c r="Y85" s="3012"/>
      <c r="Z85" s="3012"/>
      <c r="AA85" s="3012"/>
      <c r="AB85" s="3012"/>
      <c r="AC85" s="3012"/>
      <c r="AD85" s="880"/>
      <c r="AE85" s="880"/>
      <c r="AF85" s="880"/>
      <c r="AG85" s="880"/>
      <c r="AH85" s="880"/>
      <c r="AI85" s="880"/>
      <c r="AJ85" s="880"/>
      <c r="AK85" s="880"/>
    </row>
    <row r="86" spans="1:40" s="1284" customFormat="1" ht="23.25" customHeight="1">
      <c r="A86" s="2979"/>
      <c r="B86" s="2980"/>
      <c r="C86" s="2980"/>
      <c r="D86" s="2980"/>
      <c r="E86" s="2980"/>
      <c r="F86" s="2980"/>
      <c r="G86" s="2979"/>
      <c r="H86" s="2980"/>
      <c r="I86" s="2980"/>
      <c r="J86" s="2980"/>
      <c r="K86" s="2980"/>
      <c r="L86" s="2980"/>
      <c r="M86" s="3016"/>
      <c r="N86" s="3017"/>
      <c r="O86" s="3017"/>
      <c r="P86" s="3017"/>
      <c r="Q86" s="3017"/>
      <c r="R86" s="3017"/>
      <c r="S86" s="3018"/>
      <c r="T86" s="3012"/>
      <c r="U86" s="3012"/>
      <c r="V86" s="3012"/>
      <c r="W86" s="3012"/>
      <c r="X86" s="3012"/>
      <c r="Y86" s="3012"/>
      <c r="Z86" s="3012"/>
      <c r="AA86" s="3012"/>
      <c r="AB86" s="3012"/>
      <c r="AC86" s="3012"/>
      <c r="AD86" s="880"/>
      <c r="AE86" s="880"/>
      <c r="AF86" s="880"/>
      <c r="AG86" s="880"/>
      <c r="AH86" s="880"/>
      <c r="AI86" s="880"/>
      <c r="AJ86" s="880"/>
      <c r="AK86" s="880"/>
    </row>
    <row r="87" spans="1:40" s="1284" customFormat="1" ht="14.45" customHeight="1">
      <c r="A87" s="1296">
        <v>1</v>
      </c>
      <c r="B87" s="1297" t="s">
        <v>2739</v>
      </c>
      <c r="C87" s="1297"/>
      <c r="D87" s="1297"/>
      <c r="E87" s="1297"/>
      <c r="F87" s="1298"/>
      <c r="G87" s="1296">
        <v>1</v>
      </c>
      <c r="H87" s="1297" t="s">
        <v>2724</v>
      </c>
      <c r="I87" s="1297"/>
      <c r="J87" s="1297"/>
      <c r="K87" s="1297"/>
      <c r="L87" s="1298"/>
      <c r="M87" s="1299"/>
      <c r="S87" s="1298"/>
      <c r="T87" s="33"/>
      <c r="U87" s="1761"/>
      <c r="V87" s="1761"/>
      <c r="W87" s="1761"/>
      <c r="X87" s="1761"/>
      <c r="Y87" s="1761"/>
      <c r="Z87" s="1761"/>
      <c r="AA87" s="1761"/>
      <c r="AB87" s="1761"/>
      <c r="AC87" s="1756"/>
      <c r="AD87" s="880"/>
      <c r="AE87" s="880"/>
      <c r="AF87" s="880"/>
      <c r="AG87" s="880"/>
      <c r="AH87" s="880"/>
      <c r="AI87" s="880"/>
      <c r="AJ87" s="880"/>
      <c r="AK87" s="880"/>
    </row>
    <row r="88" spans="1:40" s="1284" customFormat="1" ht="14.45" customHeight="1">
      <c r="A88" s="1299">
        <v>2</v>
      </c>
      <c r="B88" s="1284" t="s">
        <v>2725</v>
      </c>
      <c r="E88" s="1286"/>
      <c r="G88" s="1299">
        <v>2</v>
      </c>
      <c r="H88" s="1284" t="s">
        <v>2726</v>
      </c>
      <c r="K88" s="1286"/>
      <c r="M88" s="1286"/>
      <c r="N88" s="1286"/>
      <c r="O88" s="1286"/>
      <c r="P88" s="1286"/>
      <c r="Q88" s="1286"/>
      <c r="R88" s="1286"/>
      <c r="S88" s="1286"/>
      <c r="T88" s="25" t="s">
        <v>2727</v>
      </c>
      <c r="U88" s="880"/>
      <c r="V88" s="880"/>
      <c r="W88" s="880"/>
      <c r="X88" s="880"/>
      <c r="Y88" s="880"/>
      <c r="Z88" s="880"/>
      <c r="AA88" s="880"/>
      <c r="AB88" s="880"/>
      <c r="AC88" s="1043"/>
      <c r="AD88" s="880"/>
      <c r="AE88" s="880"/>
      <c r="AF88" s="880"/>
      <c r="AG88" s="880"/>
      <c r="AH88" s="880"/>
      <c r="AI88" s="880"/>
      <c r="AJ88" s="880"/>
      <c r="AK88" s="880"/>
    </row>
    <row r="89" spans="1:40" s="1284" customFormat="1" ht="14.45" customHeight="1">
      <c r="A89" s="1299">
        <v>3</v>
      </c>
      <c r="B89" s="1284" t="s">
        <v>2728</v>
      </c>
      <c r="F89" s="1300"/>
      <c r="G89" s="1299">
        <v>3</v>
      </c>
      <c r="H89" s="1284" t="s">
        <v>2729</v>
      </c>
      <c r="L89" s="1300"/>
      <c r="M89" s="1299"/>
      <c r="S89" s="1300"/>
      <c r="T89" s="25"/>
      <c r="U89" s="880"/>
      <c r="V89" s="880"/>
      <c r="W89" s="880"/>
      <c r="X89" s="880"/>
      <c r="Y89" s="880"/>
      <c r="Z89" s="880"/>
      <c r="AA89" s="880"/>
      <c r="AB89" s="880"/>
      <c r="AC89" s="1043"/>
      <c r="AD89" s="880"/>
      <c r="AE89" s="880"/>
      <c r="AF89" s="880"/>
      <c r="AG89" s="880"/>
      <c r="AH89" s="880"/>
      <c r="AI89" s="880"/>
      <c r="AJ89" s="880"/>
      <c r="AK89" s="880"/>
    </row>
    <row r="90" spans="1:40" s="1284" customFormat="1" ht="14.45" customHeight="1">
      <c r="A90" s="1301">
        <v>4</v>
      </c>
      <c r="B90" s="1302" t="s">
        <v>1786</v>
      </c>
      <c r="C90" s="1302"/>
      <c r="D90" s="1302"/>
      <c r="E90" s="1302"/>
      <c r="F90" s="1303"/>
      <c r="G90" s="1301">
        <v>4</v>
      </c>
      <c r="H90" s="1302" t="s">
        <v>1786</v>
      </c>
      <c r="I90" s="1302"/>
      <c r="J90" s="1302"/>
      <c r="K90" s="1302"/>
      <c r="L90" s="1303"/>
      <c r="M90" s="1301"/>
      <c r="N90" s="1302"/>
      <c r="O90" s="2963" t="s">
        <v>2740</v>
      </c>
      <c r="P90" s="2963"/>
      <c r="Q90" s="1302"/>
      <c r="R90" s="1302"/>
      <c r="S90" s="1303"/>
      <c r="T90" s="662" t="s">
        <v>2730</v>
      </c>
      <c r="U90" s="1892"/>
      <c r="V90" s="1892"/>
      <c r="W90" s="1892"/>
      <c r="X90" s="1892"/>
      <c r="Y90" s="1892"/>
      <c r="Z90" s="1892"/>
      <c r="AA90" s="1892"/>
      <c r="AB90" s="1892"/>
      <c r="AC90" s="1869"/>
      <c r="AD90" s="880"/>
      <c r="AE90" s="880"/>
      <c r="AF90" s="880"/>
      <c r="AG90" s="880"/>
      <c r="AH90" s="880"/>
      <c r="AI90" s="880"/>
      <c r="AJ90" s="880"/>
      <c r="AK90" s="880"/>
    </row>
  </sheetData>
  <customSheetViews>
    <customSheetView guid="{9C153D9E-615C-443B-9CD7-551163282F03}" scale="136" showPageBreaks="1" printArea="1" view="pageBreakPreview" topLeftCell="C1">
      <selection activeCell="X10" sqref="X10:AB11"/>
      <rowBreaks count="2" manualBreakCount="2">
        <brk id="41" max="34" man="1"/>
        <brk id="76" max="34" man="1"/>
      </rowBreaks>
      <pageMargins left="0" right="0" top="0" bottom="0" header="0" footer="0"/>
      <pageSetup orientation="landscape" r:id="rId1"/>
      <headerFooter>
        <oddFooter>&amp;C&amp;P</oddFooter>
      </headerFooter>
    </customSheetView>
    <customSheetView guid="{BE9F68F7-D81B-4526-9959-D871EC50BDFF}" scale="136" showPageBreaks="1" printArea="1" view="pageBreakPreview" topLeftCell="C1">
      <selection activeCell="X10" sqref="X10:AB11"/>
      <rowBreaks count="2" manualBreakCount="2">
        <brk id="41" max="34" man="1"/>
        <brk id="76" max="34" man="1"/>
      </rowBreaks>
      <pageMargins left="0" right="0" top="0" bottom="0" header="0" footer="0"/>
      <pageSetup orientation="landscape" r:id="rId2"/>
      <headerFooter>
        <oddFooter>&amp;C&amp;P</oddFooter>
      </headerFooter>
    </customSheetView>
    <customSheetView guid="{EF790C5B-80DA-4544-9EB7-EFE0323B2298}" scale="170" showPageBreaks="1" printArea="1" view="pageBreakPreview" topLeftCell="A77">
      <selection activeCell="K51" sqref="K51:N51"/>
      <rowBreaks count="2" manualBreakCount="2">
        <brk id="41" max="34" man="1"/>
        <brk id="81" max="34" man="1"/>
      </rowBreaks>
      <pageMargins left="0" right="0" top="0" bottom="0" header="0" footer="0"/>
      <pageSetup orientation="landscape" r:id="rId3"/>
      <headerFooter>
        <oddFooter>&amp;C&amp;P</oddFooter>
      </headerFooter>
    </customSheetView>
    <customSheetView guid="{C9D2DBB1-CD01-4732-8C86-64BE16C94753}" showPageBreaks="1" printArea="1" view="pageBreakPreview">
      <selection activeCell="A33" sqref="A33"/>
      <rowBreaks count="2" manualBreakCount="2">
        <brk id="41" max="34" man="1"/>
        <brk id="76" max="34" man="1"/>
      </rowBreaks>
      <pageMargins left="0" right="0" top="0" bottom="0" header="0" footer="0"/>
      <pageSetup orientation="landscape" r:id="rId4"/>
      <headerFooter>
        <oddFooter>&amp;C&amp;P</oddFooter>
      </headerFooter>
    </customSheetView>
    <customSheetView guid="{BFEC163F-7C4E-49B7-9F32-15225772E72F}" scale="136" showPageBreaks="1" printArea="1" view="pageBreakPreview" topLeftCell="C22">
      <selection activeCell="X10" sqref="X10:AB11"/>
      <rowBreaks count="2" manualBreakCount="2">
        <brk id="41" max="34" man="1"/>
        <brk id="76" max="34" man="1"/>
      </rowBreaks>
      <pageMargins left="0" right="0" top="0" bottom="0" header="0" footer="0"/>
      <pageSetup orientation="landscape" r:id="rId5"/>
      <headerFooter>
        <oddFooter>&amp;C&amp;P</oddFooter>
      </headerFooter>
    </customSheetView>
    <customSheetView guid="{5529DB6B-163A-4048-9107-267B30B97DF3}" scale="136" showPageBreaks="1" printArea="1" view="pageBreakPreview" topLeftCell="C22">
      <selection activeCell="X10" sqref="X10:AB11"/>
      <rowBreaks count="2" manualBreakCount="2">
        <brk id="41" max="34" man="1"/>
        <brk id="76" max="34" man="1"/>
      </rowBreaks>
      <pageMargins left="0" right="0" top="0" bottom="0" header="0" footer="0"/>
      <pageSetup orientation="landscape" r:id="rId6"/>
      <headerFooter>
        <oddFooter>&amp;C&amp;P</oddFooter>
      </headerFooter>
    </customSheetView>
    <customSheetView guid="{9B0763AA-FA4B-479A-900C-C113E8BEEFEB}" scale="136" showPageBreaks="1" printArea="1" view="pageBreakPreview" topLeftCell="C1">
      <selection activeCell="X10" sqref="X10:AB11"/>
      <rowBreaks count="2" manualBreakCount="2">
        <brk id="41" max="34" man="1"/>
        <brk id="76" max="34" man="1"/>
      </rowBreaks>
      <pageMargins left="0" right="0" top="0" bottom="0" header="0" footer="0"/>
      <pageSetup orientation="landscape" r:id="rId7"/>
      <headerFooter>
        <oddFooter>&amp;C&amp;P</oddFooter>
      </headerFooter>
    </customSheetView>
    <customSheetView guid="{89903799-8228-4A6D-8A81-7F80BC61226D}" scale="170" showPageBreaks="1" printArea="1" view="pageBreakPreview" topLeftCell="A47">
      <selection activeCell="E63" sqref="E63"/>
      <rowBreaks count="2" manualBreakCount="2">
        <brk id="41" max="34" man="1"/>
        <brk id="81" max="34" man="1"/>
      </rowBreaks>
      <pageMargins left="0" right="0" top="0" bottom="0" header="0" footer="0"/>
      <pageSetup orientation="landscape" r:id="rId8"/>
      <headerFooter>
        <oddFooter>&amp;C&amp;P</oddFooter>
      </headerFooter>
    </customSheetView>
    <customSheetView guid="{2524630E-605A-4616-AD5D-6CF7B1E9752C}" scale="170" showPageBreaks="1" printArea="1" view="pageBreakPreview" topLeftCell="A16">
      <selection activeCell="G101" sqref="G101:K101"/>
      <rowBreaks count="2" manualBreakCount="2">
        <brk id="41" max="34" man="1"/>
        <brk id="81" max="34" man="1"/>
      </rowBreaks>
      <pageMargins left="0" right="0" top="0" bottom="0" header="0" footer="0"/>
      <pageSetup orientation="landscape" r:id="rId9"/>
      <headerFooter>
        <oddFooter>&amp;C&amp;P</oddFooter>
      </headerFooter>
    </customSheetView>
  </customSheetViews>
  <mergeCells count="92">
    <mergeCell ref="T85:AC86"/>
    <mergeCell ref="A85:F86"/>
    <mergeCell ref="M85:S86"/>
    <mergeCell ref="A62:F63"/>
    <mergeCell ref="B61:C61"/>
    <mergeCell ref="N67:S67"/>
    <mergeCell ref="T62:AC63"/>
    <mergeCell ref="Z73:AC73"/>
    <mergeCell ref="S73:U73"/>
    <mergeCell ref="O69:AC72"/>
    <mergeCell ref="P61:Q61"/>
    <mergeCell ref="C68:D68"/>
    <mergeCell ref="I68:J68"/>
    <mergeCell ref="O68:AC68"/>
    <mergeCell ref="AA65:AB65"/>
    <mergeCell ref="I81:N81"/>
    <mergeCell ref="B5:S5"/>
    <mergeCell ref="V74:W74"/>
    <mergeCell ref="Z74:AA74"/>
    <mergeCell ref="AB74:AC74"/>
    <mergeCell ref="O74:P74"/>
    <mergeCell ref="Q74:R74"/>
    <mergeCell ref="S74:T74"/>
    <mergeCell ref="H61:I61"/>
    <mergeCell ref="O73:R73"/>
    <mergeCell ref="V73:Y73"/>
    <mergeCell ref="S50:T50"/>
    <mergeCell ref="V50:W50"/>
    <mergeCell ref="Z50:AA50"/>
    <mergeCell ref="AB50:AC50"/>
    <mergeCell ref="G62:M63"/>
    <mergeCell ref="N62:S63"/>
    <mergeCell ref="B50:D50"/>
    <mergeCell ref="G50:J50"/>
    <mergeCell ref="K50:N50"/>
    <mergeCell ref="O50:P50"/>
    <mergeCell ref="Q50:R50"/>
    <mergeCell ref="B38:C38"/>
    <mergeCell ref="B45:F49"/>
    <mergeCell ref="G45:N49"/>
    <mergeCell ref="O49:R49"/>
    <mergeCell ref="V49:Y49"/>
    <mergeCell ref="G44:N44"/>
    <mergeCell ref="B44:F44"/>
    <mergeCell ref="O44:AC44"/>
    <mergeCell ref="O45:AC48"/>
    <mergeCell ref="S49:U49"/>
    <mergeCell ref="Z49:AC49"/>
    <mergeCell ref="W22:AI23"/>
    <mergeCell ref="L38:M38"/>
    <mergeCell ref="J38:K38"/>
    <mergeCell ref="F38:G38"/>
    <mergeCell ref="D38:E38"/>
    <mergeCell ref="B34:S34"/>
    <mergeCell ref="B35:C35"/>
    <mergeCell ref="D35:E35"/>
    <mergeCell ref="F35:G35"/>
    <mergeCell ref="J35:K35"/>
    <mergeCell ref="W27:AI27"/>
    <mergeCell ref="U33:V33"/>
    <mergeCell ref="U37:V37"/>
    <mergeCell ref="W37:AH38"/>
    <mergeCell ref="W30:AI31"/>
    <mergeCell ref="W33:AI34"/>
    <mergeCell ref="H84:I84"/>
    <mergeCell ref="G69:N73"/>
    <mergeCell ref="L14:M14"/>
    <mergeCell ref="U17:V17"/>
    <mergeCell ref="U22:V22"/>
    <mergeCell ref="U30:V30"/>
    <mergeCell ref="U27:V27"/>
    <mergeCell ref="O90:P90"/>
    <mergeCell ref="A69:F73"/>
    <mergeCell ref="A74:D74"/>
    <mergeCell ref="G74:H74"/>
    <mergeCell ref="I74:N74"/>
    <mergeCell ref="I75:N75"/>
    <mergeCell ref="I76:N76"/>
    <mergeCell ref="I77:N77"/>
    <mergeCell ref="I78:N78"/>
    <mergeCell ref="I79:N79"/>
    <mergeCell ref="I80:N80"/>
    <mergeCell ref="O84:P84"/>
    <mergeCell ref="G85:L86"/>
    <mergeCell ref="I82:N82"/>
    <mergeCell ref="I83:N83"/>
    <mergeCell ref="C84:D84"/>
    <mergeCell ref="X50:Y50"/>
    <mergeCell ref="X74:Y74"/>
    <mergeCell ref="L35:M35"/>
    <mergeCell ref="H35:I35"/>
    <mergeCell ref="H38:I38"/>
  </mergeCells>
  <pageMargins left="0.314" right="0.314" top="0.11799999999999999" bottom="0.27500000000000002" header="0.157" footer="0.11799999999999999"/>
  <pageSetup scale="87" orientation="landscape" r:id="rId10"/>
  <headerFooter>
    <oddFooter>&amp;C&amp;P</oddFooter>
  </headerFooter>
  <rowBreaks count="1" manualBreakCount="1">
    <brk id="49" max="36" man="1"/>
  </rowBreaks>
  <drawing r:id="rId1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400-000000000000}">
  <dimension ref="A1:O57"/>
  <sheetViews>
    <sheetView view="pageBreakPreview" topLeftCell="C1" zoomScale="120" zoomScaleNormal="140" zoomScaleSheetLayoutView="120" workbookViewId="0">
      <selection activeCell="N7" sqref="N7:N13"/>
    </sheetView>
  </sheetViews>
  <sheetFormatPr defaultColWidth="9.140625" defaultRowHeight="12.75"/>
  <cols>
    <col min="1" max="1" width="20" style="30" customWidth="1"/>
    <col min="2" max="2" width="6.42578125" style="30" customWidth="1"/>
    <col min="3" max="3" width="9.28515625" style="30" customWidth="1"/>
    <col min="4" max="4" width="7.85546875" style="30" customWidth="1"/>
    <col min="5" max="5" width="14.85546875" style="678" customWidth="1"/>
    <col min="6" max="7" width="6.85546875" style="678" customWidth="1"/>
    <col min="8" max="8" width="7.85546875" style="678" customWidth="1"/>
    <col min="9" max="9" width="7.42578125" style="30" customWidth="1"/>
    <col min="10" max="10" width="9.85546875" style="30" customWidth="1"/>
    <col min="11" max="11" width="11.7109375" style="30" customWidth="1"/>
    <col min="12" max="12" width="13.140625" style="30" customWidth="1"/>
    <col min="13" max="13" width="10.7109375" style="30" customWidth="1"/>
    <col min="14" max="14" width="18.5703125" style="30" customWidth="1"/>
    <col min="15" max="15" width="13.28515625" style="30" customWidth="1"/>
    <col min="16" max="16384" width="9.140625" style="271"/>
  </cols>
  <sheetData>
    <row r="1" spans="1:15">
      <c r="A1" s="541" t="s">
        <v>2741</v>
      </c>
    </row>
    <row r="2" spans="1:15" ht="15">
      <c r="A2" s="2046"/>
      <c r="B2" s="1998"/>
      <c r="C2" s="1998"/>
      <c r="D2" s="1998"/>
      <c r="E2" s="1994"/>
      <c r="F2" s="1994"/>
      <c r="G2" s="1994"/>
      <c r="H2" s="1994"/>
      <c r="I2" s="1998"/>
      <c r="J2" s="1998"/>
      <c r="K2" s="1998"/>
      <c r="L2" s="1998"/>
      <c r="M2" s="1998"/>
      <c r="N2" s="1998"/>
    </row>
    <row r="3" spans="1:15" ht="16.5">
      <c r="A3" s="2046"/>
      <c r="B3" s="2047" t="s">
        <v>2742</v>
      </c>
      <c r="C3" s="1998"/>
      <c r="D3" s="1998"/>
      <c r="E3" s="1994"/>
      <c r="F3" s="1994"/>
      <c r="G3" s="1994"/>
      <c r="H3" s="1994"/>
      <c r="I3" s="1998"/>
      <c r="J3" s="1998"/>
      <c r="K3" s="1998"/>
      <c r="L3" s="1998"/>
      <c r="M3" s="2047" t="s">
        <v>2743</v>
      </c>
      <c r="N3" s="1998"/>
    </row>
    <row r="4" spans="1:15" ht="16.5">
      <c r="A4" s="2047"/>
      <c r="B4" s="2047" t="s">
        <v>2744</v>
      </c>
      <c r="C4" s="2047"/>
      <c r="D4" s="2047"/>
      <c r="E4" s="1996"/>
      <c r="F4" s="1996"/>
      <c r="G4" s="1996"/>
      <c r="H4" s="1996"/>
      <c r="I4" s="2047"/>
      <c r="J4" s="2047"/>
      <c r="K4" s="2047"/>
      <c r="L4" s="1998"/>
      <c r="M4" s="2047"/>
      <c r="N4" s="1998"/>
      <c r="O4" s="24"/>
    </row>
    <row r="5" spans="1:15" ht="16.5">
      <c r="A5" s="2047"/>
      <c r="B5" s="2047"/>
      <c r="C5" s="1998"/>
      <c r="D5" s="1998"/>
      <c r="E5" s="1994"/>
      <c r="F5" s="1994"/>
      <c r="G5" s="1994"/>
      <c r="H5" s="1994"/>
      <c r="I5" s="2047"/>
      <c r="J5" s="2047"/>
      <c r="K5" s="2047"/>
      <c r="L5" s="2047"/>
      <c r="M5" s="2047"/>
      <c r="N5" s="2047"/>
      <c r="O5" s="24"/>
    </row>
    <row r="6" spans="1:15" ht="13.5">
      <c r="A6" s="3034">
        <v>19.02</v>
      </c>
      <c r="B6" s="3035"/>
      <c r="C6" s="1895">
        <f>A6+0.01</f>
        <v>19.03</v>
      </c>
      <c r="D6" s="1895">
        <f>C6+0.01</f>
        <v>19.040000000000003</v>
      </c>
      <c r="E6" s="1896">
        <f>D6+0.01</f>
        <v>19.050000000000004</v>
      </c>
      <c r="F6" s="1896">
        <f>E6+0.01</f>
        <v>19.060000000000006</v>
      </c>
      <c r="G6" s="1897"/>
      <c r="H6" s="1898"/>
      <c r="I6" s="1895">
        <f>F6+0.01</f>
        <v>19.070000000000007</v>
      </c>
      <c r="J6" s="1895">
        <f t="shared" ref="J6:O6" si="0">I6+0.01</f>
        <v>19.080000000000009</v>
      </c>
      <c r="K6" s="1895">
        <f t="shared" si="0"/>
        <v>19.090000000000011</v>
      </c>
      <c r="L6" s="1895">
        <f t="shared" si="0"/>
        <v>19.100000000000012</v>
      </c>
      <c r="M6" s="1895">
        <f t="shared" si="0"/>
        <v>19.110000000000014</v>
      </c>
      <c r="N6" s="1895">
        <f t="shared" si="0"/>
        <v>19.120000000000015</v>
      </c>
      <c r="O6" s="1895">
        <f t="shared" si="0"/>
        <v>19.130000000000017</v>
      </c>
    </row>
    <row r="7" spans="1:15" ht="13.5" customHeight="1">
      <c r="A7" s="3036" t="s">
        <v>2745</v>
      </c>
      <c r="B7" s="3036"/>
      <c r="C7" s="2505" t="s">
        <v>2746</v>
      </c>
      <c r="D7" s="2505" t="s">
        <v>2747</v>
      </c>
      <c r="E7" s="3031" t="str">
        <f>CONCATENATE("O equipamento pertence a toda o agregado ou a um determinado membro (s)?
1= Um membro em particular
2= Todo o agregado ►(",TEXT(I6, "0,00"),")")</f>
        <v>O equipamento pertence a toda o agregado ou a um determinado membro (s)?
1= Um membro em particular
2= Todo o agregado ►(19,07)</v>
      </c>
      <c r="F7" s="3031" t="s">
        <v>2748</v>
      </c>
      <c r="G7" s="2507"/>
      <c r="H7" s="3037"/>
      <c r="I7" s="2505" t="s">
        <v>2749</v>
      </c>
      <c r="J7" s="2505" t="s">
        <v>2750</v>
      </c>
      <c r="K7" s="2505" t="s">
        <v>2751</v>
      </c>
      <c r="L7" s="3031" t="s">
        <v>2752</v>
      </c>
      <c r="M7" s="2505" t="s">
        <v>2753</v>
      </c>
      <c r="N7" s="2505" t="s">
        <v>2754</v>
      </c>
      <c r="O7" s="2505" t="s">
        <v>2755</v>
      </c>
    </row>
    <row r="8" spans="1:15" ht="13.5">
      <c r="A8" s="677"/>
      <c r="B8" s="677"/>
      <c r="C8" s="2506"/>
      <c r="D8" s="2506"/>
      <c r="E8" s="3032"/>
      <c r="F8" s="3032"/>
      <c r="G8" s="2508"/>
      <c r="H8" s="3038"/>
      <c r="I8" s="2506"/>
      <c r="J8" s="2506"/>
      <c r="K8" s="2506"/>
      <c r="L8" s="3032"/>
      <c r="M8" s="2506"/>
      <c r="N8" s="2506"/>
      <c r="O8" s="2506"/>
    </row>
    <row r="9" spans="1:15" ht="13.5">
      <c r="A9" s="677"/>
      <c r="B9" s="677"/>
      <c r="C9" s="2506"/>
      <c r="D9" s="2506"/>
      <c r="E9" s="3032"/>
      <c r="F9" s="3032"/>
      <c r="G9" s="2508"/>
      <c r="H9" s="3038"/>
      <c r="I9" s="2506"/>
      <c r="J9" s="2506"/>
      <c r="K9" s="2506"/>
      <c r="L9" s="3032"/>
      <c r="M9" s="2506"/>
      <c r="N9" s="2506"/>
      <c r="O9" s="2506"/>
    </row>
    <row r="10" spans="1:15" ht="13.5">
      <c r="A10" s="677"/>
      <c r="B10" s="677"/>
      <c r="C10" s="2506"/>
      <c r="D10" s="2506"/>
      <c r="E10" s="3032"/>
      <c r="F10" s="3032"/>
      <c r="G10" s="2508"/>
      <c r="H10" s="3038"/>
      <c r="I10" s="2506"/>
      <c r="J10" s="2506"/>
      <c r="K10" s="2506"/>
      <c r="L10" s="3032"/>
      <c r="M10" s="2506"/>
      <c r="N10" s="2506"/>
      <c r="O10" s="2506"/>
    </row>
    <row r="11" spans="1:15" ht="13.5">
      <c r="A11" s="677"/>
      <c r="B11" s="677"/>
      <c r="C11" s="2506"/>
      <c r="D11" s="2506"/>
      <c r="E11" s="3032"/>
      <c r="F11" s="3032"/>
      <c r="G11" s="2508"/>
      <c r="H11" s="3038"/>
      <c r="I11" s="2506"/>
      <c r="J11" s="2506"/>
      <c r="K11" s="2506"/>
      <c r="L11" s="3032"/>
      <c r="M11" s="2506"/>
      <c r="N11" s="2506"/>
      <c r="O11" s="2506"/>
    </row>
    <row r="12" spans="1:15" ht="13.5">
      <c r="A12" s="677"/>
      <c r="B12" s="677"/>
      <c r="C12" s="2506"/>
      <c r="D12" s="2506"/>
      <c r="E12" s="3032"/>
      <c r="F12" s="3032"/>
      <c r="G12" s="2508"/>
      <c r="H12" s="3038"/>
      <c r="I12" s="2506"/>
      <c r="J12" s="2506"/>
      <c r="K12" s="2506"/>
      <c r="L12" s="3032"/>
      <c r="M12" s="2506"/>
      <c r="N12" s="2506"/>
      <c r="O12" s="2506"/>
    </row>
    <row r="13" spans="1:15" ht="20.25" customHeight="1">
      <c r="A13" s="677"/>
      <c r="B13" s="677"/>
      <c r="C13" s="2506"/>
      <c r="D13" s="2506"/>
      <c r="E13" s="3032"/>
      <c r="F13" s="1563"/>
      <c r="G13" s="1562"/>
      <c r="H13" s="1862"/>
      <c r="I13" s="2506"/>
      <c r="J13" s="2506"/>
      <c r="K13" s="2506"/>
      <c r="L13" s="3032"/>
      <c r="M13" s="2506"/>
      <c r="N13" s="2506"/>
      <c r="O13" s="2506"/>
    </row>
    <row r="14" spans="1:15" ht="42" customHeight="1">
      <c r="A14" s="677"/>
      <c r="B14" s="677"/>
      <c r="C14" s="3030"/>
      <c r="D14" s="3030"/>
      <c r="E14" s="3033"/>
      <c r="F14" s="2048" t="s">
        <v>1766</v>
      </c>
      <c r="G14" s="2049" t="s">
        <v>1767</v>
      </c>
      <c r="H14" s="2050" t="s">
        <v>1768</v>
      </c>
      <c r="I14" s="3030"/>
      <c r="J14" s="3030"/>
      <c r="K14" s="3030"/>
      <c r="L14" s="3033"/>
      <c r="M14" s="2051"/>
      <c r="N14" s="2051"/>
      <c r="O14" s="1438"/>
    </row>
    <row r="15" spans="1:15" ht="27">
      <c r="A15" s="1899" t="s">
        <v>2043</v>
      </c>
      <c r="B15" s="1900" t="s">
        <v>420</v>
      </c>
      <c r="C15" s="1900" t="s">
        <v>420</v>
      </c>
      <c r="D15" s="1900" t="s">
        <v>426</v>
      </c>
      <c r="E15" s="1900" t="s">
        <v>420</v>
      </c>
      <c r="F15" s="1901" t="s">
        <v>1106</v>
      </c>
      <c r="G15" s="1901" t="s">
        <v>1106</v>
      </c>
      <c r="H15" s="1901" t="s">
        <v>1106</v>
      </c>
      <c r="I15" s="1900" t="s">
        <v>424</v>
      </c>
      <c r="J15" s="1900" t="s">
        <v>428</v>
      </c>
      <c r="K15" s="1900" t="s">
        <v>428</v>
      </c>
      <c r="L15" s="1900" t="s">
        <v>420</v>
      </c>
      <c r="M15" s="1901" t="s">
        <v>428</v>
      </c>
      <c r="N15" s="1901" t="s">
        <v>420</v>
      </c>
      <c r="O15" s="1901" t="s">
        <v>428</v>
      </c>
    </row>
    <row r="16" spans="1:15" ht="13.5">
      <c r="A16" s="2042" t="s">
        <v>2756</v>
      </c>
      <c r="B16" s="1473">
        <v>101</v>
      </c>
      <c r="C16" s="1473"/>
      <c r="D16" s="1473"/>
      <c r="E16" s="1473"/>
      <c r="F16" s="1473"/>
      <c r="G16" s="1473"/>
      <c r="H16" s="1473"/>
      <c r="I16" s="1473"/>
      <c r="J16" s="1473"/>
      <c r="K16" s="1473"/>
      <c r="L16" s="1473"/>
      <c r="M16" s="1473"/>
      <c r="N16" s="1473"/>
      <c r="O16" s="1473"/>
    </row>
    <row r="17" spans="1:15" ht="13.5">
      <c r="A17" s="2042" t="s">
        <v>2757</v>
      </c>
      <c r="B17" s="1473">
        <v>102</v>
      </c>
      <c r="C17" s="1473"/>
      <c r="D17" s="1473"/>
      <c r="E17" s="1473"/>
      <c r="F17" s="1473"/>
      <c r="G17" s="1473"/>
      <c r="H17" s="1473"/>
      <c r="I17" s="1473"/>
      <c r="J17" s="1473"/>
      <c r="K17" s="1473"/>
      <c r="L17" s="1473"/>
      <c r="M17" s="1473"/>
      <c r="N17" s="1473"/>
      <c r="O17" s="1473"/>
    </row>
    <row r="18" spans="1:15" ht="13.5">
      <c r="A18" s="2042" t="s">
        <v>2758</v>
      </c>
      <c r="B18" s="1473">
        <v>103</v>
      </c>
      <c r="C18" s="1473"/>
      <c r="D18" s="1473"/>
      <c r="E18" s="1473"/>
      <c r="F18" s="1473"/>
      <c r="G18" s="1473"/>
      <c r="H18" s="1473"/>
      <c r="I18" s="1473"/>
      <c r="J18" s="1473"/>
      <c r="K18" s="1473"/>
      <c r="L18" s="1473"/>
      <c r="M18" s="1473"/>
      <c r="N18" s="1473"/>
      <c r="O18" s="1473"/>
    </row>
    <row r="19" spans="1:15" ht="13.5">
      <c r="A19" s="2042" t="s">
        <v>2759</v>
      </c>
      <c r="B19" s="1473">
        <v>104</v>
      </c>
      <c r="C19" s="1473"/>
      <c r="D19" s="1473"/>
      <c r="E19" s="1473"/>
      <c r="F19" s="1473"/>
      <c r="G19" s="1473"/>
      <c r="H19" s="1473"/>
      <c r="I19" s="1473"/>
      <c r="J19" s="1473"/>
      <c r="K19" s="1473"/>
      <c r="L19" s="1473"/>
      <c r="M19" s="1473"/>
      <c r="N19" s="1473"/>
      <c r="O19" s="1473"/>
    </row>
    <row r="20" spans="1:15" ht="13.5">
      <c r="A20" s="2042" t="s">
        <v>2760</v>
      </c>
      <c r="B20" s="1473">
        <v>105</v>
      </c>
      <c r="C20" s="1473"/>
      <c r="D20" s="1473"/>
      <c r="E20" s="1473"/>
      <c r="F20" s="1473"/>
      <c r="G20" s="1473"/>
      <c r="H20" s="1473"/>
      <c r="I20" s="1473"/>
      <c r="J20" s="1473"/>
      <c r="K20" s="1473"/>
      <c r="L20" s="1473"/>
      <c r="M20" s="1473"/>
      <c r="N20" s="1473"/>
      <c r="O20" s="1473"/>
    </row>
    <row r="21" spans="1:15" ht="13.5">
      <c r="A21" s="2042" t="s">
        <v>2761</v>
      </c>
      <c r="B21" s="1473">
        <v>106</v>
      </c>
      <c r="C21" s="1473"/>
      <c r="D21" s="1473"/>
      <c r="E21" s="1473"/>
      <c r="F21" s="1473"/>
      <c r="G21" s="1473"/>
      <c r="H21" s="1473"/>
      <c r="I21" s="1473"/>
      <c r="J21" s="1473"/>
      <c r="K21" s="1473"/>
      <c r="L21" s="1473"/>
      <c r="M21" s="1473"/>
      <c r="N21" s="1473"/>
      <c r="O21" s="1473"/>
    </row>
    <row r="22" spans="1:15" ht="13.5">
      <c r="A22" s="2042" t="s">
        <v>2762</v>
      </c>
      <c r="B22" s="1473">
        <v>107</v>
      </c>
      <c r="C22" s="1473"/>
      <c r="D22" s="1473"/>
      <c r="E22" s="1473"/>
      <c r="F22" s="1473"/>
      <c r="G22" s="1473"/>
      <c r="H22" s="1473"/>
      <c r="I22" s="1473"/>
      <c r="J22" s="1473"/>
      <c r="K22" s="1473"/>
      <c r="L22" s="1473"/>
      <c r="M22" s="1473"/>
      <c r="N22" s="1473"/>
      <c r="O22" s="1473"/>
    </row>
    <row r="23" spans="1:15" ht="13.5">
      <c r="A23" s="2042" t="s">
        <v>2763</v>
      </c>
      <c r="B23" s="1473">
        <v>108</v>
      </c>
      <c r="C23" s="1473"/>
      <c r="D23" s="1473"/>
      <c r="E23" s="1473"/>
      <c r="F23" s="1473"/>
      <c r="G23" s="1473"/>
      <c r="H23" s="1473"/>
      <c r="I23" s="1473"/>
      <c r="J23" s="1473"/>
      <c r="K23" s="1473"/>
      <c r="L23" s="1473"/>
      <c r="M23" s="1473"/>
      <c r="N23" s="1473"/>
      <c r="O23" s="1473"/>
    </row>
    <row r="24" spans="1:15" ht="13.5">
      <c r="A24" s="2042" t="s">
        <v>2764</v>
      </c>
      <c r="B24" s="1473">
        <v>110</v>
      </c>
      <c r="C24" s="1473"/>
      <c r="D24" s="1473"/>
      <c r="E24" s="1473"/>
      <c r="F24" s="1473"/>
      <c r="G24" s="1473"/>
      <c r="H24" s="1473"/>
      <c r="I24" s="1473"/>
      <c r="J24" s="1473"/>
      <c r="K24" s="1473"/>
      <c r="L24" s="1473"/>
      <c r="M24" s="1473"/>
      <c r="N24" s="1473"/>
      <c r="O24" s="1473"/>
    </row>
    <row r="25" spans="1:15" ht="13.5">
      <c r="A25" s="2042" t="s">
        <v>2765</v>
      </c>
      <c r="B25" s="1473">
        <v>111</v>
      </c>
      <c r="C25" s="1473"/>
      <c r="D25" s="1473"/>
      <c r="E25" s="1473"/>
      <c r="F25" s="1473"/>
      <c r="G25" s="1473"/>
      <c r="H25" s="1473"/>
      <c r="I25" s="1473"/>
      <c r="J25" s="1473"/>
      <c r="K25" s="1473"/>
      <c r="L25" s="1473"/>
      <c r="M25" s="1473"/>
      <c r="N25" s="1473"/>
      <c r="O25" s="1473"/>
    </row>
    <row r="26" spans="1:15" ht="13.5">
      <c r="A26" s="2042" t="s">
        <v>2766</v>
      </c>
      <c r="B26" s="1473">
        <v>112</v>
      </c>
      <c r="C26" s="1473"/>
      <c r="D26" s="1473"/>
      <c r="E26" s="1473"/>
      <c r="F26" s="1473"/>
      <c r="G26" s="1473"/>
      <c r="H26" s="1473"/>
      <c r="I26" s="1473"/>
      <c r="J26" s="1473"/>
      <c r="K26" s="1473"/>
      <c r="L26" s="1473"/>
      <c r="M26" s="1473"/>
      <c r="N26" s="1473"/>
      <c r="O26" s="1473"/>
    </row>
    <row r="27" spans="1:15" ht="13.5">
      <c r="A27" s="2042" t="s">
        <v>2767</v>
      </c>
      <c r="B27" s="1473">
        <v>113</v>
      </c>
      <c r="C27" s="1473"/>
      <c r="D27" s="1473"/>
      <c r="E27" s="1473"/>
      <c r="F27" s="1473"/>
      <c r="G27" s="1473"/>
      <c r="H27" s="1473"/>
      <c r="I27" s="1473"/>
      <c r="J27" s="1473"/>
      <c r="K27" s="1473"/>
      <c r="L27" s="1473"/>
      <c r="M27" s="1473"/>
      <c r="N27" s="1473"/>
      <c r="O27" s="1473"/>
    </row>
    <row r="28" spans="1:15" ht="13.5">
      <c r="A28" s="2042" t="s">
        <v>2768</v>
      </c>
      <c r="B28" s="1473">
        <v>114</v>
      </c>
      <c r="C28" s="1473"/>
      <c r="D28" s="1473"/>
      <c r="E28" s="1473"/>
      <c r="F28" s="1473"/>
      <c r="G28" s="1473"/>
      <c r="H28" s="1473"/>
      <c r="I28" s="1473"/>
      <c r="J28" s="1473"/>
      <c r="K28" s="1473"/>
      <c r="L28" s="1473"/>
      <c r="M28" s="1473"/>
      <c r="N28" s="1473"/>
      <c r="O28" s="1473"/>
    </row>
    <row r="29" spans="1:15" ht="13.5">
      <c r="A29" s="2042" t="s">
        <v>2769</v>
      </c>
      <c r="B29" s="1473">
        <v>115</v>
      </c>
      <c r="C29" s="1473"/>
      <c r="D29" s="1473"/>
      <c r="E29" s="1473"/>
      <c r="F29" s="1473"/>
      <c r="G29" s="1473"/>
      <c r="H29" s="1473"/>
      <c r="I29" s="1473"/>
      <c r="J29" s="1473"/>
      <c r="K29" s="1473"/>
      <c r="L29" s="1473"/>
      <c r="M29" s="1473"/>
      <c r="N29" s="1473"/>
      <c r="O29" s="1473"/>
    </row>
    <row r="30" spans="1:15" ht="13.5">
      <c r="A30" s="2042" t="s">
        <v>2770</v>
      </c>
      <c r="B30" s="1473">
        <v>117</v>
      </c>
      <c r="C30" s="1473"/>
      <c r="D30" s="1473"/>
      <c r="E30" s="1473"/>
      <c r="F30" s="1473"/>
      <c r="G30" s="1473"/>
      <c r="H30" s="1473"/>
      <c r="I30" s="1473"/>
      <c r="J30" s="1473"/>
      <c r="K30" s="1473"/>
      <c r="L30" s="1473"/>
      <c r="M30" s="1473"/>
      <c r="N30" s="1473"/>
      <c r="O30" s="1473"/>
    </row>
    <row r="31" spans="1:15" ht="21.75" customHeight="1">
      <c r="A31" s="2042" t="s">
        <v>2771</v>
      </c>
      <c r="B31" s="1473">
        <v>118</v>
      </c>
      <c r="C31" s="1473"/>
      <c r="D31" s="1473"/>
      <c r="E31" s="1473"/>
      <c r="F31" s="1473"/>
      <c r="G31" s="1473"/>
      <c r="H31" s="1473"/>
      <c r="I31" s="1473"/>
      <c r="J31" s="1473"/>
      <c r="K31" s="1473"/>
      <c r="L31" s="1473"/>
      <c r="M31" s="1473"/>
      <c r="N31" s="1473"/>
      <c r="O31" s="1473"/>
    </row>
    <row r="32" spans="1:15" ht="13.5">
      <c r="A32" s="2042" t="s">
        <v>2772</v>
      </c>
      <c r="B32" s="1473">
        <v>119</v>
      </c>
      <c r="C32" s="1473"/>
      <c r="D32" s="1473"/>
      <c r="E32" s="1473"/>
      <c r="F32" s="1473"/>
      <c r="G32" s="1473"/>
      <c r="H32" s="1473"/>
      <c r="I32" s="1473"/>
      <c r="J32" s="1473"/>
      <c r="K32" s="1473"/>
      <c r="L32" s="1473"/>
      <c r="M32" s="1473"/>
      <c r="N32" s="1473"/>
      <c r="O32" s="1473"/>
    </row>
    <row r="33" spans="1:15" ht="13.5">
      <c r="A33" s="2042" t="s">
        <v>2773</v>
      </c>
      <c r="B33" s="1473">
        <v>121</v>
      </c>
      <c r="C33" s="1473"/>
      <c r="D33" s="1473"/>
      <c r="E33" s="1473"/>
      <c r="F33" s="1473"/>
      <c r="G33" s="1473"/>
      <c r="H33" s="1473"/>
      <c r="I33" s="1473"/>
      <c r="J33" s="1473"/>
      <c r="K33" s="1473"/>
      <c r="L33" s="1473"/>
      <c r="M33" s="1473"/>
      <c r="N33" s="1473"/>
      <c r="O33" s="1473"/>
    </row>
    <row r="34" spans="1:15" ht="13.5">
      <c r="A34" s="2042" t="s">
        <v>2774</v>
      </c>
      <c r="B34" s="1473">
        <v>122</v>
      </c>
      <c r="C34" s="1473"/>
      <c r="D34" s="1473"/>
      <c r="E34" s="1473"/>
      <c r="F34" s="1473"/>
      <c r="G34" s="1473"/>
      <c r="H34" s="1473"/>
      <c r="I34" s="1473"/>
      <c r="J34" s="1473"/>
      <c r="K34" s="1473"/>
      <c r="L34" s="1473"/>
      <c r="M34" s="1473"/>
      <c r="N34" s="1473"/>
      <c r="O34" s="1473"/>
    </row>
    <row r="35" spans="1:15" ht="13.5">
      <c r="A35" s="1606" t="s">
        <v>2775</v>
      </c>
      <c r="B35" s="1473">
        <v>123</v>
      </c>
      <c r="C35" s="1405"/>
      <c r="D35" s="1405"/>
      <c r="E35" s="1405"/>
      <c r="F35" s="1405"/>
      <c r="G35" s="1405"/>
      <c r="H35" s="1405"/>
      <c r="I35" s="1405"/>
      <c r="J35" s="1405"/>
      <c r="K35" s="1405"/>
      <c r="L35" s="1405"/>
      <c r="M35" s="1405"/>
      <c r="N35" s="1405"/>
      <c r="O35" s="1405"/>
    </row>
    <row r="36" spans="1:15" ht="13.5">
      <c r="A36" s="1606" t="s">
        <v>2776</v>
      </c>
      <c r="B36" s="1473">
        <v>124</v>
      </c>
      <c r="C36" s="1405"/>
      <c r="D36" s="1405"/>
      <c r="E36" s="1405"/>
      <c r="F36" s="1405"/>
      <c r="G36" s="1405"/>
      <c r="H36" s="1405"/>
      <c r="I36" s="1405"/>
      <c r="J36" s="1405"/>
      <c r="K36" s="1405"/>
      <c r="L36" s="1405"/>
      <c r="M36" s="1405"/>
      <c r="N36" s="1405"/>
      <c r="O36" s="1405"/>
    </row>
    <row r="37" spans="1:15" ht="13.5">
      <c r="A37" s="1606" t="s">
        <v>2777</v>
      </c>
      <c r="B37" s="1473">
        <v>125</v>
      </c>
      <c r="C37" s="1405"/>
      <c r="D37" s="1405"/>
      <c r="E37" s="1405"/>
      <c r="F37" s="1405"/>
      <c r="G37" s="1405"/>
      <c r="H37" s="1405"/>
      <c r="I37" s="1405"/>
      <c r="J37" s="1405"/>
      <c r="K37" s="1405"/>
      <c r="L37" s="1405"/>
      <c r="M37" s="1405"/>
      <c r="N37" s="1405"/>
      <c r="O37" s="1405"/>
    </row>
    <row r="38" spans="1:15" ht="13.5">
      <c r="A38" s="1606" t="s">
        <v>2778</v>
      </c>
      <c r="B38" s="1473">
        <v>126</v>
      </c>
      <c r="C38" s="1405"/>
      <c r="D38" s="1405"/>
      <c r="E38" s="1405"/>
      <c r="F38" s="1405"/>
      <c r="G38" s="1405"/>
      <c r="H38" s="1405"/>
      <c r="I38" s="1405"/>
      <c r="J38" s="1405"/>
      <c r="K38" s="1405"/>
      <c r="L38" s="1405"/>
      <c r="M38" s="1405"/>
      <c r="N38" s="1405"/>
      <c r="O38" s="1405"/>
    </row>
    <row r="39" spans="1:15" ht="13.5">
      <c r="A39" s="1606" t="s">
        <v>2779</v>
      </c>
      <c r="B39" s="1473">
        <v>128</v>
      </c>
      <c r="C39" s="1405"/>
      <c r="D39" s="1405"/>
      <c r="E39" s="1405"/>
      <c r="F39" s="1405"/>
      <c r="G39" s="1405"/>
      <c r="H39" s="1405"/>
      <c r="I39" s="1405"/>
      <c r="J39" s="1405"/>
      <c r="K39" s="1405"/>
      <c r="L39" s="1405"/>
      <c r="M39" s="1405"/>
      <c r="N39" s="1405"/>
      <c r="O39" s="1405"/>
    </row>
    <row r="40" spans="1:15" ht="13.5">
      <c r="A40" s="1606" t="s">
        <v>2780</v>
      </c>
      <c r="B40" s="1473">
        <v>129</v>
      </c>
      <c r="C40" s="1405"/>
      <c r="D40" s="1405"/>
      <c r="E40" s="1405"/>
      <c r="F40" s="1405"/>
      <c r="G40" s="1405"/>
      <c r="H40" s="1405"/>
      <c r="I40" s="1405"/>
      <c r="J40" s="1405"/>
      <c r="K40" s="1405"/>
      <c r="L40" s="1405"/>
      <c r="M40" s="1405"/>
      <c r="N40" s="1405"/>
      <c r="O40" s="1405"/>
    </row>
    <row r="41" spans="1:15" ht="13.5">
      <c r="A41" s="1606" t="s">
        <v>2781</v>
      </c>
      <c r="B41" s="1473">
        <v>130</v>
      </c>
      <c r="C41" s="1405"/>
      <c r="D41" s="1405"/>
      <c r="E41" s="1405"/>
      <c r="F41" s="1405"/>
      <c r="G41" s="1405"/>
      <c r="H41" s="1405"/>
      <c r="I41" s="1405"/>
      <c r="J41" s="1405"/>
      <c r="K41" s="1405"/>
      <c r="L41" s="1405"/>
      <c r="M41" s="1405"/>
      <c r="N41" s="1405"/>
      <c r="O41" s="1405"/>
    </row>
    <row r="42" spans="1:15" ht="13.5">
      <c r="A42" s="1606" t="s">
        <v>2782</v>
      </c>
      <c r="B42" s="1473">
        <v>131</v>
      </c>
      <c r="C42" s="1405"/>
      <c r="D42" s="1405"/>
      <c r="E42" s="1405"/>
      <c r="F42" s="1405"/>
      <c r="G42" s="1405"/>
      <c r="H42" s="1405"/>
      <c r="I42" s="1405"/>
      <c r="J42" s="1405"/>
      <c r="K42" s="1405"/>
      <c r="L42" s="1405"/>
      <c r="M42" s="1405"/>
      <c r="N42" s="1405"/>
      <c r="O42" s="1405"/>
    </row>
    <row r="43" spans="1:15" ht="13.5">
      <c r="A43" s="1606" t="s">
        <v>2783</v>
      </c>
      <c r="B43" s="1473">
        <v>132</v>
      </c>
      <c r="C43" s="1405"/>
      <c r="D43" s="1405"/>
      <c r="E43" s="1405"/>
      <c r="F43" s="1405"/>
      <c r="G43" s="1405"/>
      <c r="H43" s="1405"/>
      <c r="I43" s="1405"/>
      <c r="J43" s="1405"/>
      <c r="K43" s="1405"/>
      <c r="L43" s="1405"/>
      <c r="M43" s="1405"/>
      <c r="N43" s="1405"/>
      <c r="O43" s="1405"/>
    </row>
    <row r="44" spans="1:15" ht="13.5">
      <c r="A44" s="1606" t="s">
        <v>2784</v>
      </c>
      <c r="B44" s="1473">
        <v>133</v>
      </c>
      <c r="C44" s="1405"/>
      <c r="D44" s="1405"/>
      <c r="E44" s="1405"/>
      <c r="F44" s="1405"/>
      <c r="G44" s="1405"/>
      <c r="H44" s="1405"/>
      <c r="I44" s="1405"/>
      <c r="J44" s="1405"/>
      <c r="K44" s="1405"/>
      <c r="L44" s="1405"/>
      <c r="M44" s="1405"/>
      <c r="N44" s="1405"/>
      <c r="O44" s="1405"/>
    </row>
    <row r="45" spans="1:15" ht="13.5">
      <c r="A45" s="1606" t="s">
        <v>2785</v>
      </c>
      <c r="B45" s="1473">
        <v>134</v>
      </c>
      <c r="C45" s="1405"/>
      <c r="D45" s="1405"/>
      <c r="E45" s="1405"/>
      <c r="F45" s="1405"/>
      <c r="G45" s="1405"/>
      <c r="H45" s="1405"/>
      <c r="I45" s="1405"/>
      <c r="J45" s="1405"/>
      <c r="K45" s="1405"/>
      <c r="L45" s="1405"/>
      <c r="M45" s="1405"/>
      <c r="N45" s="1405"/>
      <c r="O45" s="1405"/>
    </row>
    <row r="46" spans="1:15" ht="13.5">
      <c r="A46" s="1606" t="s">
        <v>2786</v>
      </c>
      <c r="B46" s="1473">
        <v>135</v>
      </c>
      <c r="C46" s="1405"/>
      <c r="D46" s="1405"/>
      <c r="E46" s="1405"/>
      <c r="F46" s="1405"/>
      <c r="G46" s="1405"/>
      <c r="H46" s="1405"/>
      <c r="I46" s="1405"/>
      <c r="J46" s="1405"/>
      <c r="K46" s="1405"/>
      <c r="L46" s="1405"/>
      <c r="M46" s="1405"/>
      <c r="N46" s="1405"/>
      <c r="O46" s="1405"/>
    </row>
    <row r="47" spans="1:15" ht="13.5">
      <c r="A47" s="2045" t="s">
        <v>2787</v>
      </c>
      <c r="B47" s="1473">
        <v>136</v>
      </c>
      <c r="C47" s="1405"/>
      <c r="D47" s="1405"/>
      <c r="E47" s="1405"/>
      <c r="F47" s="1405"/>
      <c r="G47" s="1405"/>
      <c r="H47" s="1405"/>
      <c r="I47" s="1405"/>
      <c r="J47" s="1405"/>
      <c r="K47" s="1405"/>
      <c r="L47" s="1405"/>
      <c r="M47" s="1405"/>
      <c r="N47" s="1405"/>
      <c r="O47" s="1405"/>
    </row>
    <row r="48" spans="1:15" ht="13.5">
      <c r="A48" s="1606" t="s">
        <v>2788</v>
      </c>
      <c r="B48" s="1473">
        <v>137</v>
      </c>
      <c r="C48" s="1405"/>
      <c r="D48" s="1405"/>
      <c r="E48" s="1405"/>
      <c r="F48" s="1405"/>
      <c r="G48" s="1405"/>
      <c r="H48" s="1405"/>
      <c r="I48" s="1405"/>
      <c r="J48" s="1405"/>
      <c r="K48" s="1405"/>
      <c r="L48" s="1405"/>
      <c r="M48" s="1405"/>
      <c r="N48" s="1405"/>
      <c r="O48" s="1405"/>
    </row>
    <row r="49" spans="1:15" ht="13.5">
      <c r="A49" s="1606" t="s">
        <v>2789</v>
      </c>
      <c r="B49" s="1473">
        <v>138</v>
      </c>
      <c r="C49" s="1405"/>
      <c r="D49" s="1405"/>
      <c r="E49" s="1405"/>
      <c r="F49" s="1405"/>
      <c r="G49" s="1405"/>
      <c r="H49" s="1405"/>
      <c r="I49" s="1405"/>
      <c r="J49" s="1405"/>
      <c r="K49" s="1405"/>
      <c r="L49" s="1405"/>
      <c r="M49" s="1405"/>
      <c r="N49" s="1405"/>
      <c r="O49" s="1405"/>
    </row>
    <row r="50" spans="1:15" ht="13.5">
      <c r="A50" s="1606" t="s">
        <v>2790</v>
      </c>
      <c r="B50" s="1473">
        <v>139</v>
      </c>
      <c r="C50" s="1405"/>
      <c r="D50" s="1405"/>
      <c r="E50" s="1405"/>
      <c r="F50" s="1405"/>
      <c r="G50" s="1405"/>
      <c r="H50" s="1405"/>
      <c r="I50" s="1405"/>
      <c r="J50" s="1405"/>
      <c r="K50" s="1405"/>
      <c r="L50" s="1405"/>
      <c r="M50" s="1405"/>
      <c r="N50" s="1405"/>
      <c r="O50" s="1405"/>
    </row>
    <row r="51" spans="1:15" ht="13.5">
      <c r="A51" s="1606" t="s">
        <v>2791</v>
      </c>
      <c r="B51" s="1473">
        <v>140</v>
      </c>
      <c r="C51" s="1405"/>
      <c r="D51" s="1405"/>
      <c r="E51" s="1405"/>
      <c r="F51" s="1405"/>
      <c r="G51" s="1405"/>
      <c r="H51" s="1405"/>
      <c r="I51" s="1405"/>
      <c r="J51" s="1405"/>
      <c r="K51" s="1405"/>
      <c r="L51" s="1405"/>
      <c r="M51" s="1405"/>
      <c r="N51" s="1405"/>
      <c r="O51" s="1405"/>
    </row>
    <row r="57" spans="1:15" ht="15">
      <c r="K57" s="664"/>
    </row>
  </sheetData>
  <customSheetViews>
    <customSheetView guid="{9C153D9E-615C-443B-9CD7-551163282F03}" scale="142" showPageBreaks="1" view="pageBreakPreview">
      <selection activeCell="I7" sqref="I7:I13"/>
      <pageMargins left="0" right="0" top="0" bottom="0" header="0" footer="0"/>
      <pageSetup scale="87" orientation="landscape" r:id="rId1"/>
      <headerFooter>
        <oddFooter>&amp;C&amp;P</oddFooter>
      </headerFooter>
    </customSheetView>
    <customSheetView guid="{BE9F68F7-D81B-4526-9959-D871EC50BDFF}" scale="142" showPageBreaks="1" view="pageBreakPreview">
      <selection activeCell="I7" sqref="I7:I13"/>
      <pageMargins left="0" right="0" top="0" bottom="0" header="0" footer="0"/>
      <pageSetup scale="87" orientation="landscape" r:id="rId2"/>
      <headerFooter>
        <oddFooter>&amp;C&amp;P</oddFooter>
      </headerFooter>
    </customSheetView>
    <customSheetView guid="{EF790C5B-80DA-4544-9EB7-EFE0323B2298}" scale="190" showPageBreaks="1" view="pageBreakPreview" topLeftCell="F1">
      <selection activeCell="I7" sqref="I7:I13"/>
      <pageMargins left="0" right="0" top="0" bottom="0" header="0" footer="0"/>
      <pageSetup scale="87" orientation="landscape" r:id="rId3"/>
      <headerFooter>
        <oddFooter>&amp;C&amp;P</oddFooter>
      </headerFooter>
    </customSheetView>
    <customSheetView guid="{C9D2DBB1-CD01-4732-8C86-64BE16C94753}" scale="90" showPageBreaks="1" view="pageBreakPreview">
      <pageMargins left="0" right="0" top="0" bottom="0" header="0" footer="0"/>
      <pageSetup scale="87" orientation="landscape" r:id="rId4"/>
      <headerFooter>
        <oddFooter>&amp;C&amp;P</oddFooter>
      </headerFooter>
    </customSheetView>
    <customSheetView guid="{BFEC163F-7C4E-49B7-9F32-15225772E72F}" scale="142" showPageBreaks="1" view="pageBreakPreview" topLeftCell="A7">
      <selection activeCell="I7" sqref="I7:I13"/>
      <pageMargins left="0" right="0" top="0" bottom="0" header="0" footer="0"/>
      <pageSetup scale="87" orientation="landscape" r:id="rId5"/>
      <headerFooter>
        <oddFooter>&amp;C&amp;P</oddFooter>
      </headerFooter>
    </customSheetView>
    <customSheetView guid="{5529DB6B-163A-4048-9107-267B30B97DF3}" scale="142" showPageBreaks="1" view="pageBreakPreview">
      <selection activeCell="I7" sqref="I7:I13"/>
      <pageMargins left="0" right="0" top="0" bottom="0" header="0" footer="0"/>
      <pageSetup scale="87" orientation="landscape" r:id="rId6"/>
      <headerFooter>
        <oddFooter>&amp;C&amp;P</oddFooter>
      </headerFooter>
    </customSheetView>
    <customSheetView guid="{9B0763AA-FA4B-479A-900C-C113E8BEEFEB}" scale="142" showPageBreaks="1" view="pageBreakPreview">
      <selection activeCell="I7" sqref="I7:I13"/>
      <pageMargins left="0" right="0" top="0" bottom="0" header="0" footer="0"/>
      <pageSetup scale="87" orientation="landscape" r:id="rId7"/>
      <headerFooter>
        <oddFooter>&amp;C&amp;P</oddFooter>
      </headerFooter>
    </customSheetView>
    <customSheetView guid="{89903799-8228-4A6D-8A81-7F80BC61226D}" scale="190" showPageBreaks="1" view="pageBreakPreview" topLeftCell="E22">
      <selection activeCell="A39" sqref="A39"/>
      <pageMargins left="0" right="0" top="0" bottom="0" header="0" footer="0"/>
      <pageSetup scale="87" orientation="landscape" r:id="rId8"/>
      <headerFooter>
        <oddFooter>&amp;C&amp;P</oddFooter>
      </headerFooter>
    </customSheetView>
    <customSheetView guid="{2524630E-605A-4616-AD5D-6CF7B1E9752C}" scale="190" showPageBreaks="1" view="pageBreakPreview" topLeftCell="A19">
      <selection activeCell="A22" sqref="A22"/>
      <pageMargins left="0" right="0" top="0" bottom="0" header="0" footer="0"/>
      <pageSetup scale="87" orientation="landscape" r:id="rId9"/>
      <headerFooter>
        <oddFooter>&amp;C&amp;P</oddFooter>
      </headerFooter>
    </customSheetView>
  </customSheetViews>
  <mergeCells count="13">
    <mergeCell ref="A6:B6"/>
    <mergeCell ref="A7:B7"/>
    <mergeCell ref="C7:C14"/>
    <mergeCell ref="D7:D14"/>
    <mergeCell ref="I7:I14"/>
    <mergeCell ref="E7:E14"/>
    <mergeCell ref="F7:H12"/>
    <mergeCell ref="O7:O13"/>
    <mergeCell ref="J7:J14"/>
    <mergeCell ref="K7:K14"/>
    <mergeCell ref="L7:L14"/>
    <mergeCell ref="M7:M13"/>
    <mergeCell ref="N7:N13"/>
  </mergeCells>
  <pageMargins left="0.314" right="0.314" top="0.11799999999999999" bottom="0.27500000000000002" header="0.157" footer="0.11799999999999999"/>
  <pageSetup scale="79" orientation="landscape" r:id="rId10"/>
  <headerFooter>
    <oddFooter>&amp;C&amp;P</oddFooter>
  </headerFooter>
  <rowBreaks count="1" manualBreakCount="1">
    <brk id="51" max="16383" man="1"/>
  </rowBreaks>
  <drawing r:id="rId1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500-000000000000}">
  <dimension ref="A1:G41"/>
  <sheetViews>
    <sheetView view="pageBreakPreview" topLeftCell="A10" zoomScale="130" zoomScaleNormal="120" zoomScaleSheetLayoutView="130" zoomScalePageLayoutView="90" workbookViewId="0">
      <selection activeCell="G17" sqref="G17:G21"/>
    </sheetView>
  </sheetViews>
  <sheetFormatPr defaultColWidth="8.85546875" defaultRowHeight="12"/>
  <cols>
    <col min="1" max="1" width="8.85546875" style="1305" customWidth="1"/>
    <col min="2" max="2" width="13.5703125" style="1305" customWidth="1"/>
    <col min="3" max="7" width="14.7109375" style="1305" customWidth="1"/>
    <col min="8" max="16384" width="8.85546875" style="1190"/>
  </cols>
  <sheetData>
    <row r="1" spans="1:7" ht="13.5">
      <c r="A1" s="1304" t="s">
        <v>2792</v>
      </c>
      <c r="C1" s="1306"/>
      <c r="D1" s="1306"/>
      <c r="E1" s="1306"/>
      <c r="F1" s="1306"/>
      <c r="G1" s="1306"/>
    </row>
    <row r="2" spans="1:7" ht="13.5">
      <c r="C2" s="1306"/>
      <c r="D2" s="1306"/>
      <c r="E2" s="3039" t="s">
        <v>2793</v>
      </c>
      <c r="F2" s="3039"/>
      <c r="G2" s="3039"/>
    </row>
    <row r="3" spans="1:7" ht="13.5">
      <c r="A3" s="1307" t="s">
        <v>2794</v>
      </c>
      <c r="B3" s="1308" t="s">
        <v>2795</v>
      </c>
      <c r="C3" s="1306"/>
      <c r="D3" s="1306"/>
      <c r="E3" s="3039"/>
      <c r="F3" s="3039"/>
      <c r="G3" s="3039"/>
    </row>
    <row r="4" spans="1:7" ht="13.5">
      <c r="A4" s="1307"/>
      <c r="B4" s="1308"/>
      <c r="C4" s="1306"/>
      <c r="D4" s="1306"/>
      <c r="E4" s="3039"/>
      <c r="F4" s="3039"/>
      <c r="G4" s="3039"/>
    </row>
    <row r="5" spans="1:7" ht="13.5">
      <c r="A5" s="959" t="s">
        <v>2796</v>
      </c>
      <c r="B5" s="1308"/>
      <c r="C5" s="1306"/>
      <c r="D5" s="1306"/>
      <c r="E5" s="3039"/>
      <c r="F5" s="3039"/>
      <c r="G5" s="3039"/>
    </row>
    <row r="6" spans="1:7" ht="13.5" customHeight="1">
      <c r="A6" s="1309"/>
      <c r="B6" s="1309"/>
      <c r="C6" s="1309"/>
      <c r="D6" s="1309"/>
      <c r="E6" s="1309"/>
      <c r="F6" s="1309"/>
      <c r="G6" s="1309"/>
    </row>
    <row r="7" spans="1:7" ht="13.5" customHeight="1">
      <c r="A7" s="1310" t="str">
        <f>CONCATENATE("(",20,"A.",TEXT(A27,"00"),")")</f>
        <v>(20A.01)</v>
      </c>
      <c r="B7" s="1310" t="str">
        <f t="shared" ref="B7:G7" si="0">CONCATENATE("(",20,"A.",TEXT(B27,"00"),")")</f>
        <v>(20A.02)</v>
      </c>
      <c r="C7" s="1310" t="str">
        <f t="shared" si="0"/>
        <v>(20A.03)</v>
      </c>
      <c r="D7" s="1310" t="str">
        <f t="shared" si="0"/>
        <v>(20A.04)</v>
      </c>
      <c r="E7" s="1310" t="str">
        <f t="shared" si="0"/>
        <v>(20A.05)</v>
      </c>
      <c r="F7" s="1310" t="str">
        <f t="shared" si="0"/>
        <v>(20A.06)</v>
      </c>
      <c r="G7" s="1310" t="str">
        <f t="shared" si="0"/>
        <v>(20A.07)</v>
      </c>
    </row>
    <row r="8" spans="1:7" ht="12.75" customHeight="1">
      <c r="A8" s="3050" t="s">
        <v>2797</v>
      </c>
      <c r="B8" s="3050" t="s">
        <v>2798</v>
      </c>
      <c r="C8" s="3050" t="s">
        <v>2799</v>
      </c>
      <c r="D8" s="3050" t="s">
        <v>2800</v>
      </c>
      <c r="E8" s="3050" t="s">
        <v>2801</v>
      </c>
      <c r="F8" s="3052" t="s">
        <v>2802</v>
      </c>
      <c r="G8" s="3040" t="s">
        <v>2803</v>
      </c>
    </row>
    <row r="9" spans="1:7" ht="12.75" customHeight="1">
      <c r="A9" s="3051"/>
      <c r="B9" s="3051"/>
      <c r="C9" s="3051"/>
      <c r="D9" s="3051"/>
      <c r="E9" s="3051"/>
      <c r="F9" s="3053"/>
      <c r="G9" s="3041"/>
    </row>
    <row r="10" spans="1:7" ht="12.75" customHeight="1">
      <c r="A10" s="3051"/>
      <c r="B10" s="3051"/>
      <c r="C10" s="3051"/>
      <c r="D10" s="3051"/>
      <c r="E10" s="3051"/>
      <c r="F10" s="3053"/>
      <c r="G10" s="3041"/>
    </row>
    <row r="11" spans="1:7">
      <c r="A11" s="3051"/>
      <c r="B11" s="3051"/>
      <c r="C11" s="3051"/>
      <c r="D11" s="3051"/>
      <c r="E11" s="3051"/>
      <c r="F11" s="3053"/>
      <c r="G11" s="3041"/>
    </row>
    <row r="12" spans="1:7" ht="12.75" customHeight="1">
      <c r="A12" s="3051"/>
      <c r="B12" s="3051"/>
      <c r="C12" s="3051"/>
      <c r="D12" s="3051"/>
      <c r="E12" s="3051"/>
      <c r="F12" s="3053"/>
      <c r="G12" s="3041"/>
    </row>
    <row r="13" spans="1:7" ht="12.75" customHeight="1">
      <c r="A13" s="3051"/>
      <c r="B13" s="3051"/>
      <c r="C13" s="3051"/>
      <c r="D13" s="3051"/>
      <c r="E13" s="3051"/>
      <c r="F13" s="3053"/>
      <c r="G13" s="3041"/>
    </row>
    <row r="14" spans="1:7">
      <c r="A14" s="3051"/>
      <c r="B14" s="3051"/>
      <c r="C14" s="3051"/>
      <c r="D14" s="3051"/>
      <c r="E14" s="3051"/>
      <c r="F14" s="3053"/>
      <c r="G14" s="3041"/>
    </row>
    <row r="15" spans="1:7">
      <c r="A15" s="3051"/>
      <c r="B15" s="3051"/>
      <c r="C15" s="3051"/>
      <c r="D15" s="3051"/>
      <c r="E15" s="3051"/>
      <c r="F15" s="3053"/>
      <c r="G15" s="3041"/>
    </row>
    <row r="16" spans="1:7">
      <c r="A16" s="3051"/>
      <c r="B16" s="3051"/>
      <c r="C16" s="3051"/>
      <c r="D16" s="3051"/>
      <c r="E16" s="3051"/>
      <c r="F16" s="3053"/>
      <c r="G16" s="3041"/>
    </row>
    <row r="17" spans="1:7" ht="13.5" customHeight="1">
      <c r="A17" s="1311" t="s">
        <v>109</v>
      </c>
      <c r="B17" s="1312" t="s">
        <v>2804</v>
      </c>
      <c r="C17" s="1312" t="s">
        <v>2805</v>
      </c>
      <c r="D17" s="1312" t="s">
        <v>2806</v>
      </c>
      <c r="E17" s="1312" t="s">
        <v>2807</v>
      </c>
      <c r="F17" s="1313"/>
      <c r="G17" s="1314" t="s">
        <v>2808</v>
      </c>
    </row>
    <row r="18" spans="1:7" ht="13.5" customHeight="1">
      <c r="A18" s="1315" t="str">
        <f>CONCATENATE("2. Não")</f>
        <v>2. Não</v>
      </c>
      <c r="B18" s="1312" t="s">
        <v>2809</v>
      </c>
      <c r="C18" s="1312" t="s">
        <v>2810</v>
      </c>
      <c r="D18" s="1312" t="s">
        <v>2810</v>
      </c>
      <c r="E18" s="1312" t="s">
        <v>2811</v>
      </c>
      <c r="F18" s="1313"/>
      <c r="G18" s="1316" t="s">
        <v>2812</v>
      </c>
    </row>
    <row r="19" spans="1:7" ht="12.75" customHeight="1">
      <c r="A19" s="1315" t="s">
        <v>2813</v>
      </c>
      <c r="B19" s="1312" t="s">
        <v>2814</v>
      </c>
      <c r="C19" s="1312" t="s">
        <v>2815</v>
      </c>
      <c r="D19" s="1312" t="s">
        <v>2815</v>
      </c>
      <c r="E19" s="1312" t="s">
        <v>2816</v>
      </c>
      <c r="F19" s="1317"/>
      <c r="G19" s="1318" t="s">
        <v>2817</v>
      </c>
    </row>
    <row r="20" spans="1:7" ht="13.5">
      <c r="A20" s="1319"/>
      <c r="B20" s="1312" t="s">
        <v>2818</v>
      </c>
      <c r="C20" s="1312" t="s">
        <v>2819</v>
      </c>
      <c r="D20" s="1312" t="s">
        <v>2819</v>
      </c>
      <c r="E20" s="1312" t="s">
        <v>2820</v>
      </c>
      <c r="F20" s="1313"/>
      <c r="G20" s="1318" t="s">
        <v>2821</v>
      </c>
    </row>
    <row r="21" spans="1:7" ht="13.5">
      <c r="A21" s="1319"/>
      <c r="B21" s="1312" t="s">
        <v>2822</v>
      </c>
      <c r="C21" s="1312" t="s">
        <v>2822</v>
      </c>
      <c r="D21" s="1312" t="s">
        <v>2822</v>
      </c>
      <c r="E21" s="1312" t="s">
        <v>2822</v>
      </c>
      <c r="F21" s="1313"/>
      <c r="G21" s="1318" t="s">
        <v>2823</v>
      </c>
    </row>
    <row r="22" spans="1:7" ht="13.5">
      <c r="A22" s="1315"/>
      <c r="B22" s="1315"/>
      <c r="C22" s="1315"/>
      <c r="D22" s="1312" t="s">
        <v>2824</v>
      </c>
      <c r="E22" s="1315"/>
      <c r="F22" s="1313"/>
      <c r="G22" s="1318" t="s">
        <v>2825</v>
      </c>
    </row>
    <row r="23" spans="1:7" ht="12.95" customHeight="1">
      <c r="A23" s="1320"/>
      <c r="B23" s="1320"/>
      <c r="C23" s="1320"/>
      <c r="D23" s="1321"/>
      <c r="E23" s="1320"/>
      <c r="F23" s="1322"/>
      <c r="G23" s="1314"/>
    </row>
    <row r="24" spans="1:7" ht="14.25" customHeight="1" thickBot="1">
      <c r="A24" s="1323" t="s">
        <v>420</v>
      </c>
      <c r="B24" s="1323" t="s">
        <v>420</v>
      </c>
      <c r="C24" s="1323" t="s">
        <v>420</v>
      </c>
      <c r="D24" s="1323" t="s">
        <v>420</v>
      </c>
      <c r="E24" s="1323" t="s">
        <v>420</v>
      </c>
      <c r="F24" s="1324" t="s">
        <v>2157</v>
      </c>
      <c r="G24" s="1387" t="s">
        <v>420</v>
      </c>
    </row>
    <row r="25" spans="1:7" ht="12.75" thickTop="1">
      <c r="A25" s="3042"/>
      <c r="B25" s="3044"/>
      <c r="C25" s="3046"/>
      <c r="D25" s="3046"/>
      <c r="E25" s="3046"/>
      <c r="F25" s="3046"/>
      <c r="G25" s="3048"/>
    </row>
    <row r="26" spans="1:7">
      <c r="A26" s="3043"/>
      <c r="B26" s="3045"/>
      <c r="C26" s="3047"/>
      <c r="D26" s="3047"/>
      <c r="E26" s="3047"/>
      <c r="F26" s="3047"/>
      <c r="G26" s="3049"/>
    </row>
    <row r="27" spans="1:7" ht="13.5">
      <c r="A27" s="1325">
        <v>1</v>
      </c>
      <c r="B27" s="1325">
        <v>2</v>
      </c>
      <c r="C27" s="1325">
        <v>3</v>
      </c>
      <c r="D27" s="1325">
        <v>4</v>
      </c>
      <c r="E27" s="1325">
        <v>5</v>
      </c>
      <c r="F27" s="1325">
        <v>6</v>
      </c>
      <c r="G27" s="1325">
        <v>7</v>
      </c>
    </row>
    <row r="28" spans="1:7" ht="13.5">
      <c r="A28" s="1325"/>
      <c r="B28" s="1325"/>
      <c r="C28" s="1325"/>
      <c r="D28" s="1325"/>
      <c r="E28" s="1325"/>
      <c r="F28" s="1325"/>
      <c r="G28" s="1325"/>
    </row>
    <row r="29" spans="1:7" ht="12" customHeight="1">
      <c r="A29" s="1325"/>
      <c r="B29" s="1325"/>
      <c r="C29" s="1325"/>
      <c r="D29" s="1325"/>
      <c r="E29" s="1325"/>
      <c r="F29" s="1325"/>
      <c r="G29" s="1325"/>
    </row>
    <row r="30" spans="1:7" ht="13.5">
      <c r="A30" s="1325"/>
      <c r="B30" s="1325"/>
      <c r="C30" s="1325"/>
      <c r="D30" s="1325"/>
      <c r="E30" s="1325"/>
      <c r="F30" s="1325"/>
      <c r="G30" s="1325"/>
    </row>
    <row r="31" spans="1:7" ht="13.5">
      <c r="A31" s="1325"/>
      <c r="B31" s="1325"/>
      <c r="C31" s="1325"/>
      <c r="D31" s="1325"/>
      <c r="E31" s="1325"/>
      <c r="F31" s="1325"/>
      <c r="G31" s="1325"/>
    </row>
    <row r="32" spans="1:7" ht="13.5">
      <c r="A32" s="1325"/>
      <c r="B32" s="1325"/>
      <c r="C32" s="1325"/>
      <c r="D32" s="1325"/>
      <c r="E32" s="1325"/>
      <c r="F32" s="1325"/>
      <c r="G32" s="1325"/>
    </row>
    <row r="33" spans="1:7" ht="13.5">
      <c r="A33" s="1325"/>
      <c r="B33" s="1325"/>
      <c r="C33" s="1325"/>
      <c r="D33" s="1325"/>
      <c r="E33" s="1325"/>
      <c r="F33" s="1325"/>
      <c r="G33" s="1325"/>
    </row>
    <row r="34" spans="1:7" ht="13.5">
      <c r="A34" s="1325"/>
      <c r="B34" s="1325"/>
      <c r="C34" s="1325"/>
      <c r="D34" s="1325"/>
      <c r="E34" s="1325"/>
      <c r="F34" s="1325"/>
      <c r="G34" s="1325"/>
    </row>
    <row r="35" spans="1:7" ht="13.5">
      <c r="A35" s="1325"/>
      <c r="B35" s="1325"/>
      <c r="C35" s="1325"/>
      <c r="D35" s="1325"/>
      <c r="E35" s="1325"/>
      <c r="F35" s="1325"/>
      <c r="G35" s="1325"/>
    </row>
    <row r="36" spans="1:7" ht="13.5">
      <c r="A36" s="1325"/>
      <c r="B36" s="1325"/>
      <c r="C36" s="1325"/>
      <c r="D36" s="1325"/>
      <c r="E36" s="1325"/>
      <c r="F36" s="1325"/>
      <c r="G36" s="1325"/>
    </row>
    <row r="37" spans="1:7" ht="13.5">
      <c r="A37" s="1325"/>
      <c r="B37" s="1325"/>
      <c r="C37" s="1325"/>
      <c r="D37" s="1325"/>
      <c r="E37" s="1325"/>
      <c r="F37" s="1325"/>
      <c r="G37" s="1325"/>
    </row>
    <row r="38" spans="1:7" ht="13.5">
      <c r="A38" s="1325"/>
      <c r="B38" s="1325"/>
      <c r="C38" s="1325"/>
      <c r="D38" s="1325"/>
      <c r="E38" s="1325"/>
      <c r="F38" s="1325"/>
      <c r="G38" s="1325"/>
    </row>
    <row r="39" spans="1:7" ht="13.5">
      <c r="A39" s="1325"/>
      <c r="B39" s="1325"/>
      <c r="C39" s="1325"/>
      <c r="D39" s="1325"/>
      <c r="E39" s="1325"/>
      <c r="F39" s="1325"/>
      <c r="G39" s="1325"/>
    </row>
    <row r="40" spans="1:7" ht="13.5">
      <c r="A40" s="1325"/>
      <c r="B40" s="1325"/>
      <c r="C40" s="1325"/>
      <c r="D40" s="1325"/>
      <c r="E40" s="1325"/>
      <c r="F40" s="1325"/>
      <c r="G40" s="1325"/>
    </row>
    <row r="41" spans="1:7" ht="13.5">
      <c r="A41" s="1325"/>
      <c r="B41" s="1325"/>
      <c r="C41" s="1325"/>
      <c r="D41" s="1325"/>
      <c r="E41" s="1325"/>
      <c r="F41" s="1325"/>
      <c r="G41" s="1325"/>
    </row>
  </sheetData>
  <mergeCells count="15">
    <mergeCell ref="E2:G5"/>
    <mergeCell ref="G8:G16"/>
    <mergeCell ref="A25:A26"/>
    <mergeCell ref="B25:B26"/>
    <mergeCell ref="C25:C26"/>
    <mergeCell ref="D25:D26"/>
    <mergeCell ref="E25:E26"/>
    <mergeCell ref="F25:F26"/>
    <mergeCell ref="G25:G26"/>
    <mergeCell ref="A8:A16"/>
    <mergeCell ref="B8:B16"/>
    <mergeCell ref="C8:C16"/>
    <mergeCell ref="D8:D16"/>
    <mergeCell ref="E8:E16"/>
    <mergeCell ref="F8:F16"/>
  </mergeCells>
  <pageMargins left="0.314" right="0.314" top="0.11799999999999999" bottom="0.27500000000000002" header="0.157" footer="0.11799999999999999"/>
  <pageSetup scale="94" firstPageNumber="61" orientation="landscape" r:id="rId1"/>
  <headerFooter>
    <oddFooter>&amp;C&amp;P</oddFooter>
  </headerFooter>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600-000000000000}">
  <dimension ref="A1:CD38"/>
  <sheetViews>
    <sheetView view="pageBreakPreview" topLeftCell="BB8" zoomScale="130" zoomScaleNormal="120" zoomScaleSheetLayoutView="130" zoomScalePageLayoutView="90" workbookViewId="0">
      <selection activeCell="BZ17" sqref="BZ17:BZ23"/>
    </sheetView>
  </sheetViews>
  <sheetFormatPr defaultColWidth="8.85546875" defaultRowHeight="12.75"/>
  <cols>
    <col min="1" max="1" width="8.7109375" style="1327" customWidth="1"/>
    <col min="2" max="2" width="2" style="1327" bestFit="1" customWidth="1"/>
    <col min="3" max="13" width="1.7109375" style="1327" bestFit="1" customWidth="1"/>
    <col min="14" max="19" width="1.7109375" style="1193" bestFit="1" customWidth="1"/>
    <col min="20" max="20" width="8.28515625" style="1193" customWidth="1"/>
    <col min="21" max="21" width="6.28515625" style="1193" customWidth="1"/>
    <col min="22" max="22" width="6.85546875" style="1193" customWidth="1"/>
    <col min="23" max="23" width="6.5703125" style="1193" customWidth="1"/>
    <col min="24" max="24" width="6.42578125" style="1193" customWidth="1"/>
    <col min="25" max="25" width="2.28515625" style="1193" customWidth="1"/>
    <col min="26" max="26" width="4.7109375" style="1193" customWidth="1"/>
    <col min="27" max="27" width="2.28515625" style="1327" customWidth="1"/>
    <col min="28" max="28" width="3.85546875" style="1327" customWidth="1"/>
    <col min="29" max="29" width="2.28515625" style="1327" customWidth="1"/>
    <col min="30" max="30" width="4.42578125" style="1327" customWidth="1"/>
    <col min="31" max="31" width="2.28515625" style="1327" customWidth="1"/>
    <col min="32" max="32" width="4.28515625" style="1327" customWidth="1"/>
    <col min="33" max="33" width="2.28515625" style="1327" customWidth="1"/>
    <col min="34" max="34" width="4.28515625" style="1327" customWidth="1"/>
    <col min="35" max="35" width="2.28515625" style="1327" customWidth="1"/>
    <col min="36" max="36" width="4.7109375" style="1327" customWidth="1"/>
    <col min="37" max="37" width="10.28515625" style="1327" customWidth="1"/>
    <col min="38" max="38" width="7.42578125" style="1327" customWidth="1"/>
    <col min="39" max="39" width="4.85546875" style="1193" customWidth="1"/>
    <col min="40" max="41" width="4.85546875" style="1327" customWidth="1"/>
    <col min="42" max="45" width="3.85546875" style="1327" customWidth="1"/>
    <col min="46" max="46" width="7.85546875" style="1327" customWidth="1"/>
    <col min="47" max="47" width="9.7109375" style="1327" customWidth="1"/>
    <col min="48" max="48" width="11.28515625" style="1327" customWidth="1"/>
    <col min="49" max="49" width="7.140625" style="1327" customWidth="1"/>
    <col min="50" max="50" width="7" style="1327" customWidth="1"/>
    <col min="51" max="51" width="6.140625" style="1327" customWidth="1"/>
    <col min="52" max="52" width="7.140625" style="1327" customWidth="1"/>
    <col min="53" max="54" width="6.5703125" style="1327" customWidth="1"/>
    <col min="55" max="55" width="6.7109375" style="1327" customWidth="1"/>
    <col min="56" max="56" width="6.28515625" style="1327" customWidth="1"/>
    <col min="57" max="57" width="2.85546875" style="1327" customWidth="1"/>
    <col min="58" max="60" width="2.85546875" style="1193" customWidth="1"/>
    <col min="61" max="61" width="2.85546875" style="1327" customWidth="1"/>
    <col min="62" max="63" width="2.85546875" style="1193" customWidth="1"/>
    <col min="64" max="65" width="2.85546875" style="1327" customWidth="1"/>
    <col min="66" max="66" width="2.85546875" style="1193" customWidth="1"/>
    <col min="67" max="67" width="7" style="1193" customWidth="1"/>
    <col min="68" max="68" width="8.140625" style="1193" customWidth="1"/>
    <col min="69" max="69" width="6.85546875" style="1327" customWidth="1"/>
    <col min="70" max="70" width="6.42578125" style="1193" customWidth="1"/>
    <col min="71" max="71" width="6.5703125" style="1193" customWidth="1"/>
    <col min="72" max="72" width="6.7109375" style="1193" customWidth="1"/>
    <col min="73" max="73" width="10.42578125" style="1193" customWidth="1"/>
    <col min="74" max="75" width="11.140625" style="1193" customWidth="1"/>
    <col min="76" max="76" width="2.85546875" style="1327" customWidth="1"/>
    <col min="77" max="79" width="2.85546875" style="1193" customWidth="1"/>
    <col min="80" max="80" width="2.85546875" style="1327" customWidth="1"/>
    <col min="81" max="82" width="2.85546875" style="1193" customWidth="1"/>
    <col min="83" max="16384" width="8.85546875" style="1193"/>
  </cols>
  <sheetData>
    <row r="1" spans="1:82">
      <c r="A1" s="1326" t="s">
        <v>2826</v>
      </c>
      <c r="D1" s="1328"/>
      <c r="E1" s="1328"/>
      <c r="F1" s="1328"/>
      <c r="G1" s="1328"/>
      <c r="H1" s="1328"/>
      <c r="I1" s="1328"/>
      <c r="J1" s="1328"/>
      <c r="K1" s="1328"/>
      <c r="L1" s="1328"/>
      <c r="M1" s="1328"/>
      <c r="AA1" s="1328"/>
      <c r="AB1" s="1328"/>
      <c r="AC1" s="1328"/>
      <c r="AD1" s="1328"/>
      <c r="AE1" s="1328"/>
      <c r="AF1" s="1328"/>
      <c r="AG1" s="1328"/>
      <c r="AH1" s="1328"/>
      <c r="AI1" s="1328"/>
      <c r="AJ1" s="1328"/>
      <c r="AK1" s="1328"/>
      <c r="AL1" s="1328"/>
      <c r="AN1" s="1328"/>
      <c r="AO1" s="1328"/>
      <c r="AP1" s="1328"/>
      <c r="AQ1" s="1328"/>
      <c r="AR1" s="1328"/>
      <c r="AS1" s="1328"/>
      <c r="AT1" s="1328"/>
      <c r="AU1" s="1328"/>
      <c r="AV1" s="1328"/>
      <c r="AW1" s="1328"/>
      <c r="AX1" s="1328"/>
      <c r="AY1" s="1328"/>
      <c r="AZ1" s="1328"/>
      <c r="BA1" s="1328"/>
      <c r="BB1" s="1328"/>
      <c r="BC1" s="1328"/>
      <c r="BD1" s="1328"/>
      <c r="BE1" s="1328"/>
      <c r="BI1" s="1328"/>
      <c r="BL1" s="1328"/>
      <c r="BM1" s="1328"/>
      <c r="BX1" s="1328"/>
      <c r="CB1" s="1328"/>
    </row>
    <row r="2" spans="1:82">
      <c r="D2" s="1328"/>
      <c r="E2" s="1328"/>
      <c r="F2" s="1328"/>
      <c r="G2" s="1328"/>
      <c r="H2" s="1328"/>
      <c r="I2" s="1328"/>
      <c r="J2" s="1328"/>
      <c r="K2" s="1328"/>
      <c r="L2" s="1328"/>
      <c r="M2" s="1328"/>
      <c r="AA2" s="1328"/>
      <c r="AB2" s="1328"/>
      <c r="AC2" s="1328"/>
      <c r="AD2" s="1328"/>
      <c r="AE2" s="1328"/>
      <c r="AF2" s="1328"/>
      <c r="AG2" s="1328"/>
      <c r="AH2" s="1328"/>
      <c r="AI2" s="1328"/>
      <c r="AJ2" s="1328"/>
      <c r="AK2" s="1328"/>
      <c r="AL2" s="1328"/>
      <c r="AN2" s="1328"/>
      <c r="AO2" s="1328"/>
      <c r="AP2" s="1328"/>
      <c r="AQ2" s="1328"/>
      <c r="AR2" s="1328"/>
      <c r="AS2" s="1328"/>
      <c r="AT2" s="1328"/>
      <c r="AU2" s="1328"/>
      <c r="AV2" s="1328"/>
      <c r="AW2" s="1328"/>
      <c r="AX2" s="1328"/>
      <c r="AY2" s="1328"/>
      <c r="AZ2" s="1328"/>
      <c r="BA2" s="1328"/>
      <c r="BB2" s="1328"/>
      <c r="BC2" s="1328"/>
      <c r="BD2" s="1328"/>
      <c r="BE2" s="1328"/>
      <c r="BI2" s="1328"/>
      <c r="BL2" s="1328"/>
      <c r="BM2" s="1328"/>
      <c r="BX2" s="1328"/>
      <c r="CB2" s="1328"/>
    </row>
    <row r="3" spans="1:82" ht="13.5">
      <c r="A3" s="959" t="s">
        <v>2827</v>
      </c>
      <c r="B3" s="1308"/>
      <c r="C3" s="1308"/>
      <c r="D3" s="1328"/>
      <c r="E3" s="1328"/>
      <c r="F3" s="1328"/>
      <c r="G3" s="1328"/>
      <c r="H3" s="1328"/>
      <c r="I3" s="1328"/>
      <c r="J3" s="1328"/>
      <c r="K3" s="1328"/>
      <c r="L3" s="1328"/>
      <c r="M3" s="1328"/>
      <c r="AA3" s="1328"/>
      <c r="AB3" s="1328"/>
      <c r="AC3" s="1328"/>
      <c r="AD3" s="1328"/>
      <c r="AE3" s="1328"/>
      <c r="AF3" s="1328"/>
      <c r="AG3" s="1328"/>
      <c r="AH3" s="1328"/>
      <c r="AI3" s="1328"/>
      <c r="AJ3" s="1328"/>
      <c r="AK3" s="1328"/>
      <c r="AL3" s="1328"/>
      <c r="AN3" s="1328"/>
      <c r="AO3" s="1328"/>
      <c r="AP3" s="1328"/>
      <c r="AQ3" s="1328"/>
      <c r="AR3" s="1328"/>
      <c r="AS3" s="1328"/>
      <c r="AT3" s="1328"/>
      <c r="AU3" s="1328"/>
      <c r="AV3" s="1328"/>
      <c r="AW3" s="1328"/>
      <c r="AX3" s="1328"/>
      <c r="AY3" s="1328"/>
      <c r="AZ3" s="1328"/>
      <c r="BA3" s="1328"/>
      <c r="BB3" s="1328"/>
      <c r="BC3" s="1328"/>
      <c r="BD3" s="1328"/>
      <c r="BE3" s="1328"/>
      <c r="BI3" s="1328"/>
      <c r="BL3" s="1328"/>
      <c r="BM3" s="1328"/>
      <c r="BX3" s="1328"/>
      <c r="CB3" s="1328"/>
    </row>
    <row r="4" spans="1:82" ht="13.5">
      <c r="A4" s="1307"/>
      <c r="B4" s="1308"/>
      <c r="C4" s="1308"/>
      <c r="D4" s="1328"/>
      <c r="E4" s="1328"/>
      <c r="F4" s="1328"/>
      <c r="G4" s="1328"/>
      <c r="H4" s="1328"/>
      <c r="I4" s="1328"/>
      <c r="J4" s="1328"/>
      <c r="K4" s="1328"/>
      <c r="L4" s="1328"/>
      <c r="M4" s="1328"/>
      <c r="AA4" s="1328"/>
      <c r="AB4" s="1328"/>
      <c r="AC4" s="1328"/>
      <c r="AD4" s="1328"/>
      <c r="AE4" s="1328"/>
      <c r="AF4" s="1328"/>
      <c r="AG4" s="1328"/>
      <c r="AH4" s="1328"/>
      <c r="AI4" s="1328"/>
      <c r="AJ4" s="1328"/>
      <c r="AK4" s="1328"/>
      <c r="AL4" s="1328"/>
      <c r="AN4" s="1328"/>
      <c r="AO4" s="1328"/>
      <c r="AP4" s="1328"/>
      <c r="AQ4" s="1328"/>
      <c r="AR4" s="1328"/>
      <c r="AS4" s="1328"/>
      <c r="AT4" s="1328"/>
      <c r="AU4" s="1328"/>
      <c r="AV4" s="1328"/>
      <c r="AW4" s="1328"/>
      <c r="AX4" s="1328"/>
      <c r="AY4" s="1328"/>
      <c r="AZ4" s="1328"/>
      <c r="BA4" s="1328"/>
      <c r="BB4" s="1328"/>
      <c r="BC4" s="1328"/>
      <c r="BD4" s="1328"/>
      <c r="BE4" s="1328"/>
      <c r="BI4" s="1328"/>
      <c r="BL4" s="1328"/>
      <c r="BM4" s="1328"/>
      <c r="BX4" s="1328"/>
      <c r="CB4" s="1328"/>
    </row>
    <row r="5" spans="1:82" ht="13.5">
      <c r="A5" s="959" t="s">
        <v>2828</v>
      </c>
      <c r="B5" s="1308"/>
      <c r="C5" s="1328"/>
      <c r="D5" s="1328"/>
      <c r="E5" s="1328"/>
      <c r="F5" s="1328"/>
      <c r="G5" s="1328"/>
      <c r="H5" s="1328"/>
      <c r="I5" s="1328"/>
      <c r="J5" s="1328"/>
      <c r="K5" s="1328"/>
      <c r="L5" s="1328"/>
      <c r="M5" s="1328"/>
      <c r="N5" s="1328"/>
      <c r="O5" s="1328"/>
      <c r="P5" s="1328"/>
      <c r="Q5" s="1328"/>
      <c r="R5" s="1328"/>
      <c r="S5" s="1328"/>
      <c r="T5" s="1328"/>
      <c r="W5" s="1328"/>
      <c r="X5" s="1328"/>
      <c r="Y5" s="1328"/>
      <c r="Z5" s="1328"/>
      <c r="AA5" s="1328"/>
      <c r="AB5" s="1328"/>
      <c r="AC5" s="1328"/>
      <c r="AD5" s="1328"/>
      <c r="AE5" s="1328"/>
      <c r="AF5" s="1328"/>
      <c r="AG5" s="1328"/>
      <c r="AH5" s="1328"/>
      <c r="AI5" s="1328"/>
      <c r="AJ5" s="1328"/>
      <c r="AK5" s="1328"/>
      <c r="AL5" s="1328"/>
      <c r="AN5" s="1193"/>
      <c r="AO5" s="1328"/>
      <c r="AP5" s="1193"/>
      <c r="AQ5" s="1193"/>
      <c r="AR5" s="1328"/>
      <c r="AS5" s="1328"/>
      <c r="AT5" s="1328"/>
      <c r="AU5" s="1328"/>
      <c r="AV5" s="1328"/>
      <c r="AW5" s="1193"/>
      <c r="AX5" s="1193"/>
      <c r="AY5" s="1193"/>
      <c r="AZ5" s="1193"/>
      <c r="BA5" s="1193"/>
      <c r="BB5" s="1193"/>
      <c r="BC5" s="1328"/>
      <c r="BD5" s="1328"/>
      <c r="BE5" s="1193"/>
      <c r="BI5" s="1193"/>
      <c r="BL5" s="1193"/>
      <c r="BM5" s="1193"/>
      <c r="BX5" s="1193"/>
      <c r="CB5" s="1193"/>
    </row>
    <row r="6" spans="1:82" ht="13.5" customHeight="1">
      <c r="A6" s="1328"/>
      <c r="B6" s="1328"/>
      <c r="C6" s="1328"/>
      <c r="D6" s="1328"/>
      <c r="E6" s="1328"/>
      <c r="F6" s="1328"/>
      <c r="G6" s="1328"/>
      <c r="H6" s="1328"/>
      <c r="I6" s="1328"/>
      <c r="J6" s="1328"/>
      <c r="K6" s="1328"/>
      <c r="L6" s="1328"/>
      <c r="M6" s="1328"/>
      <c r="N6" s="1328"/>
      <c r="O6" s="1328"/>
      <c r="P6" s="1328"/>
      <c r="Q6" s="1328"/>
      <c r="R6" s="1328"/>
      <c r="S6" s="1328"/>
      <c r="T6" s="1328"/>
      <c r="W6" s="1329"/>
      <c r="X6" s="1329"/>
      <c r="Y6" s="1328"/>
      <c r="Z6" s="1328"/>
      <c r="AA6" s="1328"/>
      <c r="AB6" s="1328"/>
      <c r="AC6" s="1328"/>
      <c r="AD6" s="1328"/>
      <c r="AE6" s="1328"/>
      <c r="AF6" s="1328"/>
      <c r="AG6" s="1328"/>
      <c r="AH6" s="1328"/>
      <c r="AI6" s="1328"/>
      <c r="AJ6" s="1328"/>
      <c r="AK6" s="1328"/>
      <c r="AL6" s="1328"/>
      <c r="AN6" s="1193"/>
      <c r="AO6" s="1328"/>
      <c r="AP6" s="1193"/>
      <c r="AQ6" s="1193"/>
      <c r="AR6" s="1329"/>
      <c r="AS6" s="1329"/>
      <c r="AT6" s="1328"/>
      <c r="AU6" s="1328"/>
      <c r="AV6" s="1328"/>
      <c r="AW6" s="1193"/>
      <c r="AX6" s="1193"/>
      <c r="AY6" s="1193"/>
      <c r="AZ6" s="1193"/>
      <c r="BA6" s="1193"/>
      <c r="BB6" s="1193"/>
      <c r="BC6" s="1328"/>
      <c r="BD6" s="1328"/>
      <c r="BE6" s="1193"/>
      <c r="BI6" s="1193"/>
      <c r="BL6" s="1193"/>
      <c r="BM6" s="1193"/>
      <c r="BX6" s="1193"/>
      <c r="CB6" s="1193"/>
    </row>
    <row r="7" spans="1:82" ht="13.5" customHeight="1">
      <c r="A7" s="1330" t="str">
        <f>CONCATENATE("(",20,"B.",TEXT(A26,"00"),")")</f>
        <v>(20B.01)</v>
      </c>
      <c r="B7" s="3107" t="str">
        <f>CONCATENATE("(",20,"B.",TEXT(B26,"00"),")")</f>
        <v>(20B.02)</v>
      </c>
      <c r="C7" s="3115"/>
      <c r="D7" s="3115"/>
      <c r="E7" s="3115"/>
      <c r="F7" s="3115"/>
      <c r="G7" s="3115"/>
      <c r="H7" s="3115"/>
      <c r="I7" s="3115"/>
      <c r="J7" s="3115"/>
      <c r="K7" s="3115"/>
      <c r="L7" s="3115"/>
      <c r="M7" s="3115"/>
      <c r="N7" s="3115"/>
      <c r="O7" s="3115"/>
      <c r="P7" s="3115"/>
      <c r="Q7" s="3115"/>
      <c r="R7" s="3115"/>
      <c r="S7" s="3116"/>
      <c r="T7" s="1330" t="str">
        <f>CONCATENATE("(",20,"B.",TEXT(T26,"00"),")")</f>
        <v>(20B.03)</v>
      </c>
      <c r="U7" s="3117" t="str">
        <f>CONCATENATE("(",20,"B.",TEXT(U26,"00"),")")</f>
        <v>(20B.04)</v>
      </c>
      <c r="V7" s="3118"/>
      <c r="W7" s="3118"/>
      <c r="X7" s="3119"/>
      <c r="Y7" s="3120" t="str">
        <f>CONCATENATE("(",20,"B.",TEXT(Y26,"00"),")")</f>
        <v>(20B.05)</v>
      </c>
      <c r="Z7" s="3115"/>
      <c r="AA7" s="3115"/>
      <c r="AB7" s="3115"/>
      <c r="AC7" s="3115"/>
      <c r="AD7" s="3115"/>
      <c r="AE7" s="3115"/>
      <c r="AF7" s="3115"/>
      <c r="AG7" s="3115"/>
      <c r="AH7" s="3115"/>
      <c r="AI7" s="3115"/>
      <c r="AJ7" s="3116"/>
      <c r="AK7" s="1330" t="str">
        <f>CONCATENATE("(",20,"B.",TEXT(AK26,"00"),"a)")</f>
        <v>(20B.06a)</v>
      </c>
      <c r="AL7" s="1330" t="str">
        <f>CONCATENATE("(",20,"B.",TEXT(AL26,"00"),"b)")</f>
        <v>(20B.06b)</v>
      </c>
      <c r="AM7" s="1331" t="str">
        <f>CONCATENATE("(",20,"B.",TEXT(AM26,"00"),")")</f>
        <v>(20B.07)</v>
      </c>
      <c r="AN7" s="1332"/>
      <c r="AO7" s="1332"/>
      <c r="AP7" s="3104" t="str">
        <f>CONCATENATE("(",20,"B.",TEXT(AP26,"00"),")")</f>
        <v>(20B.08)</v>
      </c>
      <c r="AQ7" s="3105"/>
      <c r="AR7" s="3105"/>
      <c r="AS7" s="3106"/>
      <c r="AT7" s="1333" t="str">
        <f>CONCATENATE("(",20,"B.",TEXT(AT26,"00"),")")</f>
        <v>(20B.09)</v>
      </c>
      <c r="AU7" s="1333" t="str">
        <f>CONCATENATE("(",20,"B.",TEXT(AU26,"00"),")")</f>
        <v>(20B.10)</v>
      </c>
      <c r="AV7" s="1333" t="str">
        <f>CONCATENATE("(",20,"B.",TEXT(AV26,"00"),")")</f>
        <v>(20B.11)</v>
      </c>
      <c r="AW7" s="3104" t="str">
        <f>CONCATENATE("(",20,"B.",TEXT(AW26,"00"),")")</f>
        <v>(20B.12)</v>
      </c>
      <c r="AX7" s="3105"/>
      <c r="AY7" s="3105"/>
      <c r="AZ7" s="3105"/>
      <c r="BA7" s="3105"/>
      <c r="BB7" s="3105"/>
      <c r="BC7" s="3105"/>
      <c r="BD7" s="3106"/>
      <c r="BE7" s="3104" t="str">
        <f>CONCATENATE("(",20,"B.",TEXT(BE26,"00"),")")</f>
        <v>(20B.13)</v>
      </c>
      <c r="BF7" s="3105"/>
      <c r="BG7" s="3105"/>
      <c r="BH7" s="3105"/>
      <c r="BI7" s="3105"/>
      <c r="BJ7" s="3105"/>
      <c r="BK7" s="3105"/>
      <c r="BL7" s="3105"/>
      <c r="BM7" s="3105"/>
      <c r="BN7" s="3105"/>
      <c r="BO7" s="1333" t="str">
        <f>CONCATENATE("(",20,"B.",TEXT(BO26,"00"),"a)")</f>
        <v>(20B.14a)</v>
      </c>
      <c r="BP7" s="1333" t="str">
        <f>CONCATENATE("(",20,"B.",TEXT(BP26,"00"),"b)")</f>
        <v>(20B.14b)</v>
      </c>
      <c r="BQ7" s="1903" t="str">
        <f>CONCATENATE("(",20,"B.",TEXT(BQ26,"00"),"c)")</f>
        <v>(20B.14c)</v>
      </c>
      <c r="BR7" s="3104" t="str">
        <f>CONCATENATE("(",20,"B.",TEXT(BR26,"00"),")")</f>
        <v>(20B.15)</v>
      </c>
      <c r="BS7" s="3105"/>
      <c r="BT7" s="3106"/>
      <c r="BU7" s="1333" t="str">
        <f>CONCATENATE("(",20,"B.",TEXT(BU26,"00"),")")</f>
        <v>(20B.16)</v>
      </c>
      <c r="BV7" s="3107" t="str">
        <f>CONCATENATE("(",20,"B.",TEXT(BV26,"00"),")")</f>
        <v>(20B.17)</v>
      </c>
      <c r="BW7" s="3108"/>
      <c r="BX7" s="3104" t="str">
        <f>CONCATENATE("(",20,"B.",TEXT(BX26,"00"),")")</f>
        <v>(20B.18)</v>
      </c>
      <c r="BY7" s="3105"/>
      <c r="BZ7" s="3105"/>
      <c r="CA7" s="3105"/>
      <c r="CB7" s="3105"/>
      <c r="CC7" s="3105"/>
      <c r="CD7" s="3106"/>
    </row>
    <row r="8" spans="1:82" ht="12.75" customHeight="1">
      <c r="A8" s="2913" t="s">
        <v>2829</v>
      </c>
      <c r="B8" s="3114" t="s">
        <v>2830</v>
      </c>
      <c r="C8" s="3114"/>
      <c r="D8" s="3114"/>
      <c r="E8" s="3114"/>
      <c r="F8" s="3114"/>
      <c r="G8" s="3114"/>
      <c r="H8" s="3114"/>
      <c r="I8" s="3114"/>
      <c r="J8" s="3114"/>
      <c r="K8" s="3114"/>
      <c r="L8" s="3114"/>
      <c r="M8" s="3114"/>
      <c r="N8" s="3114"/>
      <c r="O8" s="3114"/>
      <c r="P8" s="3114"/>
      <c r="Q8" s="3114"/>
      <c r="R8" s="3114"/>
      <c r="S8" s="3109"/>
      <c r="T8" s="3114" t="s">
        <v>2831</v>
      </c>
      <c r="U8" s="3051" t="s">
        <v>2832</v>
      </c>
      <c r="V8" s="2919"/>
      <c r="W8" s="2919"/>
      <c r="X8" s="3041"/>
      <c r="Y8" s="3050" t="s">
        <v>2833</v>
      </c>
      <c r="Z8" s="3114"/>
      <c r="AA8" s="3114"/>
      <c r="AB8" s="3114"/>
      <c r="AC8" s="3114"/>
      <c r="AD8" s="3114"/>
      <c r="AE8" s="3114"/>
      <c r="AF8" s="3114"/>
      <c r="AG8" s="3114"/>
      <c r="AH8" s="3114"/>
      <c r="AI8" s="3114"/>
      <c r="AJ8" s="3109"/>
      <c r="AK8" s="3109" t="s">
        <v>2834</v>
      </c>
      <c r="AL8" s="3050" t="s">
        <v>2835</v>
      </c>
      <c r="AM8" s="2915" t="s">
        <v>2836</v>
      </c>
      <c r="AN8" s="2916"/>
      <c r="AO8" s="2917"/>
      <c r="AP8" s="2919" t="s">
        <v>2837</v>
      </c>
      <c r="AQ8" s="2919"/>
      <c r="AR8" s="2919"/>
      <c r="AS8" s="3041"/>
      <c r="AT8" s="3109" t="s">
        <v>2838</v>
      </c>
      <c r="AU8" s="3052" t="s">
        <v>2839</v>
      </c>
      <c r="AV8" s="3110" t="s">
        <v>2840</v>
      </c>
      <c r="AW8" s="2915" t="s">
        <v>2841</v>
      </c>
      <c r="AX8" s="2916"/>
      <c r="AY8" s="2916"/>
      <c r="AZ8" s="2916"/>
      <c r="BA8" s="2916"/>
      <c r="BB8" s="2916"/>
      <c r="BC8" s="2916"/>
      <c r="BD8" s="2917"/>
      <c r="BE8" s="2915" t="s">
        <v>2842</v>
      </c>
      <c r="BF8" s="2916"/>
      <c r="BG8" s="2916"/>
      <c r="BH8" s="2916"/>
      <c r="BI8" s="2916"/>
      <c r="BJ8" s="2916"/>
      <c r="BK8" s="2916"/>
      <c r="BL8" s="2916"/>
      <c r="BM8" s="2916"/>
      <c r="BN8" s="2916"/>
      <c r="BO8" s="3101" t="s">
        <v>2843</v>
      </c>
      <c r="BP8" s="3102" t="s">
        <v>2844</v>
      </c>
      <c r="BQ8" s="3101" t="s">
        <v>2845</v>
      </c>
      <c r="BR8" s="3051" t="s">
        <v>2846</v>
      </c>
      <c r="BS8" s="2919"/>
      <c r="BT8" s="3041"/>
      <c r="BU8" s="3110" t="s">
        <v>2847</v>
      </c>
      <c r="BV8" s="3112" t="s">
        <v>2848</v>
      </c>
      <c r="BW8" s="3113"/>
      <c r="BX8" s="2918" t="s">
        <v>2849</v>
      </c>
      <c r="BY8" s="2919"/>
      <c r="BZ8" s="2919"/>
      <c r="CA8" s="2919"/>
      <c r="CB8" s="2919"/>
      <c r="CC8" s="2919"/>
      <c r="CD8" s="2919"/>
    </row>
    <row r="9" spans="1:82" ht="12.75" customHeight="1">
      <c r="A9" s="2814"/>
      <c r="B9" s="2919"/>
      <c r="C9" s="2919"/>
      <c r="D9" s="2919"/>
      <c r="E9" s="2919"/>
      <c r="F9" s="2919"/>
      <c r="G9" s="2919"/>
      <c r="H9" s="2919"/>
      <c r="I9" s="2919"/>
      <c r="J9" s="2919"/>
      <c r="K9" s="2919"/>
      <c r="L9" s="2919"/>
      <c r="M9" s="2919"/>
      <c r="N9" s="2919"/>
      <c r="O9" s="2919"/>
      <c r="P9" s="2919"/>
      <c r="Q9" s="2919"/>
      <c r="R9" s="2919"/>
      <c r="S9" s="3041"/>
      <c r="T9" s="2919"/>
      <c r="U9" s="3051"/>
      <c r="V9" s="2919"/>
      <c r="W9" s="2919"/>
      <c r="X9" s="3041"/>
      <c r="Y9" s="3051"/>
      <c r="Z9" s="2919"/>
      <c r="AA9" s="2919"/>
      <c r="AB9" s="2919"/>
      <c r="AC9" s="2919"/>
      <c r="AD9" s="2919"/>
      <c r="AE9" s="2919"/>
      <c r="AF9" s="2919"/>
      <c r="AG9" s="2919"/>
      <c r="AH9" s="2919"/>
      <c r="AI9" s="2919"/>
      <c r="AJ9" s="3041"/>
      <c r="AK9" s="3041"/>
      <c r="AL9" s="3051"/>
      <c r="AM9" s="2918"/>
      <c r="AN9" s="2919"/>
      <c r="AO9" s="2920"/>
      <c r="AP9" s="2919"/>
      <c r="AQ9" s="2919"/>
      <c r="AR9" s="2919"/>
      <c r="AS9" s="3041"/>
      <c r="AT9" s="3041"/>
      <c r="AU9" s="3053"/>
      <c r="AV9" s="3111"/>
      <c r="AW9" s="2918"/>
      <c r="AX9" s="2919"/>
      <c r="AY9" s="2919"/>
      <c r="AZ9" s="2919"/>
      <c r="BA9" s="2919"/>
      <c r="BB9" s="2919"/>
      <c r="BC9" s="2919"/>
      <c r="BD9" s="2920"/>
      <c r="BE9" s="2918"/>
      <c r="BF9" s="2919"/>
      <c r="BG9" s="2919"/>
      <c r="BH9" s="2919"/>
      <c r="BI9" s="2919"/>
      <c r="BJ9" s="2919"/>
      <c r="BK9" s="2919"/>
      <c r="BL9" s="2919"/>
      <c r="BM9" s="2919"/>
      <c r="BN9" s="2919"/>
      <c r="BO9" s="2814"/>
      <c r="BP9" s="3103"/>
      <c r="BQ9" s="2814"/>
      <c r="BR9" s="3051"/>
      <c r="BS9" s="2919"/>
      <c r="BT9" s="3041"/>
      <c r="BU9" s="3111"/>
      <c r="BV9" s="2918"/>
      <c r="BW9" s="2920"/>
      <c r="BX9" s="2918"/>
      <c r="BY9" s="2919"/>
      <c r="BZ9" s="2919"/>
      <c r="CA9" s="2919"/>
      <c r="CB9" s="2919"/>
      <c r="CC9" s="2919"/>
      <c r="CD9" s="2919"/>
    </row>
    <row r="10" spans="1:82" ht="12.75" customHeight="1">
      <c r="A10" s="2814"/>
      <c r="B10" s="2919"/>
      <c r="C10" s="2919"/>
      <c r="D10" s="2919"/>
      <c r="E10" s="2919"/>
      <c r="F10" s="2919"/>
      <c r="G10" s="2919"/>
      <c r="H10" s="2919"/>
      <c r="I10" s="2919"/>
      <c r="J10" s="2919"/>
      <c r="K10" s="2919"/>
      <c r="L10" s="2919"/>
      <c r="M10" s="2919"/>
      <c r="N10" s="2919"/>
      <c r="O10" s="2919"/>
      <c r="P10" s="2919"/>
      <c r="Q10" s="2919"/>
      <c r="R10" s="2919"/>
      <c r="S10" s="3041"/>
      <c r="T10" s="2919"/>
      <c r="U10" s="3051"/>
      <c r="V10" s="2919"/>
      <c r="W10" s="2919"/>
      <c r="X10" s="3041"/>
      <c r="Y10" s="3051"/>
      <c r="Z10" s="2919"/>
      <c r="AA10" s="2919"/>
      <c r="AB10" s="2919"/>
      <c r="AC10" s="2919"/>
      <c r="AD10" s="2919"/>
      <c r="AE10" s="2919"/>
      <c r="AF10" s="2919"/>
      <c r="AG10" s="2919"/>
      <c r="AH10" s="2919"/>
      <c r="AI10" s="2919"/>
      <c r="AJ10" s="3041"/>
      <c r="AK10" s="3041"/>
      <c r="AL10" s="3051"/>
      <c r="AM10" s="2918"/>
      <c r="AN10" s="2919"/>
      <c r="AO10" s="2920"/>
      <c r="AP10" s="2919"/>
      <c r="AQ10" s="2919"/>
      <c r="AR10" s="2919"/>
      <c r="AS10" s="3041"/>
      <c r="AT10" s="3041"/>
      <c r="AU10" s="3053"/>
      <c r="AV10" s="3111"/>
      <c r="AW10" s="2918"/>
      <c r="AX10" s="2919"/>
      <c r="AY10" s="2919"/>
      <c r="AZ10" s="2919"/>
      <c r="BA10" s="2919"/>
      <c r="BB10" s="2919"/>
      <c r="BC10" s="2919"/>
      <c r="BD10" s="2920"/>
      <c r="BE10" s="2918"/>
      <c r="BF10" s="2919"/>
      <c r="BG10" s="2919"/>
      <c r="BH10" s="2919"/>
      <c r="BI10" s="2919"/>
      <c r="BJ10" s="2919"/>
      <c r="BK10" s="2919"/>
      <c r="BL10" s="2919"/>
      <c r="BM10" s="2919"/>
      <c r="BN10" s="2919"/>
      <c r="BO10" s="2814"/>
      <c r="BP10" s="3103"/>
      <c r="BQ10" s="2814"/>
      <c r="BR10" s="3051"/>
      <c r="BS10" s="2919"/>
      <c r="BT10" s="3041"/>
      <c r="BU10" s="3111"/>
      <c r="BV10" s="2918"/>
      <c r="BW10" s="2920"/>
      <c r="BX10" s="2918"/>
      <c r="BY10" s="2919"/>
      <c r="BZ10" s="2919"/>
      <c r="CA10" s="2919"/>
      <c r="CB10" s="2919"/>
      <c r="CC10" s="2919"/>
      <c r="CD10" s="2919"/>
    </row>
    <row r="11" spans="1:82" ht="12.95" customHeight="1">
      <c r="A11" s="2814"/>
      <c r="B11" s="2919"/>
      <c r="C11" s="2919"/>
      <c r="D11" s="2919"/>
      <c r="E11" s="2919"/>
      <c r="F11" s="2919"/>
      <c r="G11" s="2919"/>
      <c r="H11" s="2919"/>
      <c r="I11" s="2919"/>
      <c r="J11" s="2919"/>
      <c r="K11" s="2919"/>
      <c r="L11" s="2919"/>
      <c r="M11" s="2919"/>
      <c r="N11" s="2919"/>
      <c r="O11" s="2919"/>
      <c r="P11" s="2919"/>
      <c r="Q11" s="2919"/>
      <c r="R11" s="2919"/>
      <c r="S11" s="3041"/>
      <c r="T11" s="2919"/>
      <c r="U11" s="3051"/>
      <c r="V11" s="2919"/>
      <c r="W11" s="2919"/>
      <c r="X11" s="3041"/>
      <c r="Y11" s="3051"/>
      <c r="Z11" s="2919"/>
      <c r="AA11" s="2919"/>
      <c r="AB11" s="2919"/>
      <c r="AC11" s="2919"/>
      <c r="AD11" s="2919"/>
      <c r="AE11" s="2919"/>
      <c r="AF11" s="2919"/>
      <c r="AG11" s="2919"/>
      <c r="AH11" s="2919"/>
      <c r="AI11" s="2919"/>
      <c r="AJ11" s="3041"/>
      <c r="AK11" s="3041"/>
      <c r="AL11" s="3051"/>
      <c r="AM11" s="2918"/>
      <c r="AN11" s="2919"/>
      <c r="AO11" s="2920"/>
      <c r="AP11" s="2919"/>
      <c r="AQ11" s="2919"/>
      <c r="AR11" s="2919"/>
      <c r="AS11" s="3041"/>
      <c r="AT11" s="3041"/>
      <c r="AU11" s="3053"/>
      <c r="AV11" s="3111"/>
      <c r="AW11" s="2918"/>
      <c r="AX11" s="2919"/>
      <c r="AY11" s="2919"/>
      <c r="AZ11" s="2919"/>
      <c r="BA11" s="2919"/>
      <c r="BB11" s="2919"/>
      <c r="BC11" s="2919"/>
      <c r="BD11" s="2920"/>
      <c r="BE11" s="2918"/>
      <c r="BF11" s="2919"/>
      <c r="BG11" s="2919"/>
      <c r="BH11" s="2919"/>
      <c r="BI11" s="2919"/>
      <c r="BJ11" s="2919"/>
      <c r="BK11" s="2919"/>
      <c r="BL11" s="2919"/>
      <c r="BM11" s="2919"/>
      <c r="BN11" s="2919"/>
      <c r="BO11" s="2814"/>
      <c r="BP11" s="3103"/>
      <c r="BQ11" s="2814"/>
      <c r="BR11" s="3051"/>
      <c r="BS11" s="2919"/>
      <c r="BT11" s="3041"/>
      <c r="BU11" s="3111"/>
      <c r="BV11" s="2918"/>
      <c r="BW11" s="2920"/>
      <c r="BX11" s="2918"/>
      <c r="BY11" s="2919"/>
      <c r="BZ11" s="2919"/>
      <c r="CA11" s="2919"/>
      <c r="CB11" s="2919"/>
      <c r="CC11" s="2919"/>
      <c r="CD11" s="2919"/>
    </row>
    <row r="12" spans="1:82" ht="12.75" customHeight="1">
      <c r="A12" s="2814"/>
      <c r="B12" s="2919"/>
      <c r="C12" s="2919"/>
      <c r="D12" s="2919"/>
      <c r="E12" s="2919"/>
      <c r="F12" s="2919"/>
      <c r="G12" s="2919"/>
      <c r="H12" s="2919"/>
      <c r="I12" s="2919"/>
      <c r="J12" s="2919"/>
      <c r="K12" s="2919"/>
      <c r="L12" s="2919"/>
      <c r="M12" s="2919"/>
      <c r="N12" s="2919"/>
      <c r="O12" s="2919"/>
      <c r="P12" s="2919"/>
      <c r="Q12" s="2919"/>
      <c r="R12" s="2919"/>
      <c r="S12" s="3041"/>
      <c r="T12" s="2919"/>
      <c r="U12" s="3051"/>
      <c r="V12" s="2919"/>
      <c r="W12" s="2919"/>
      <c r="X12" s="3041"/>
      <c r="Y12" s="3051"/>
      <c r="Z12" s="2919"/>
      <c r="AA12" s="2919"/>
      <c r="AB12" s="2919"/>
      <c r="AC12" s="2919"/>
      <c r="AD12" s="2919"/>
      <c r="AE12" s="2919"/>
      <c r="AF12" s="2919"/>
      <c r="AG12" s="2919"/>
      <c r="AH12" s="2919"/>
      <c r="AI12" s="2919"/>
      <c r="AJ12" s="3041"/>
      <c r="AK12" s="3041"/>
      <c r="AL12" s="3051"/>
      <c r="AM12" s="2918"/>
      <c r="AN12" s="2919"/>
      <c r="AO12" s="2920"/>
      <c r="AP12" s="2919"/>
      <c r="AQ12" s="2919"/>
      <c r="AR12" s="2919"/>
      <c r="AS12" s="3041"/>
      <c r="AT12" s="3041"/>
      <c r="AU12" s="3053"/>
      <c r="AV12" s="3111"/>
      <c r="AW12" s="2918"/>
      <c r="AX12" s="2919"/>
      <c r="AY12" s="2919"/>
      <c r="AZ12" s="2919"/>
      <c r="BA12" s="2919"/>
      <c r="BB12" s="2919"/>
      <c r="BC12" s="2919"/>
      <c r="BD12" s="2920"/>
      <c r="BE12" s="2918"/>
      <c r="BF12" s="2919"/>
      <c r="BG12" s="2919"/>
      <c r="BH12" s="2919"/>
      <c r="BI12" s="2919"/>
      <c r="BJ12" s="2919"/>
      <c r="BK12" s="2919"/>
      <c r="BL12" s="2919"/>
      <c r="BM12" s="2919"/>
      <c r="BN12" s="2919"/>
      <c r="BO12" s="2814"/>
      <c r="BP12" s="3103"/>
      <c r="BQ12" s="2814"/>
      <c r="BR12" s="3051"/>
      <c r="BS12" s="2919"/>
      <c r="BT12" s="3041"/>
      <c r="BU12" s="3111"/>
      <c r="BV12" s="2918"/>
      <c r="BW12" s="2920"/>
      <c r="BX12" s="2918"/>
      <c r="BY12" s="2919"/>
      <c r="BZ12" s="2919"/>
      <c r="CA12" s="2919"/>
      <c r="CB12" s="2919"/>
      <c r="CC12" s="2919"/>
      <c r="CD12" s="2919"/>
    </row>
    <row r="13" spans="1:82" ht="12.75" customHeight="1">
      <c r="A13" s="2814"/>
      <c r="B13" s="2919"/>
      <c r="C13" s="2919"/>
      <c r="D13" s="2919"/>
      <c r="E13" s="2919"/>
      <c r="F13" s="2919"/>
      <c r="G13" s="2919"/>
      <c r="H13" s="2919"/>
      <c r="I13" s="2919"/>
      <c r="J13" s="2919"/>
      <c r="K13" s="2919"/>
      <c r="L13" s="2919"/>
      <c r="M13" s="2919"/>
      <c r="N13" s="2919"/>
      <c r="O13" s="2919"/>
      <c r="P13" s="2919"/>
      <c r="Q13" s="2919"/>
      <c r="R13" s="2919"/>
      <c r="S13" s="3041"/>
      <c r="T13" s="2919"/>
      <c r="U13" s="3051"/>
      <c r="V13" s="2919"/>
      <c r="W13" s="2919"/>
      <c r="X13" s="3041"/>
      <c r="Y13" s="3051"/>
      <c r="Z13" s="2919"/>
      <c r="AA13" s="2919"/>
      <c r="AB13" s="2919"/>
      <c r="AC13" s="2919"/>
      <c r="AD13" s="2919"/>
      <c r="AE13" s="2919"/>
      <c r="AF13" s="2919"/>
      <c r="AG13" s="2919"/>
      <c r="AH13" s="2919"/>
      <c r="AI13" s="2919"/>
      <c r="AJ13" s="3041"/>
      <c r="AK13" s="3041"/>
      <c r="AL13" s="3051"/>
      <c r="AM13" s="2918"/>
      <c r="AN13" s="2919"/>
      <c r="AO13" s="2920"/>
      <c r="AP13" s="2919"/>
      <c r="AQ13" s="2919"/>
      <c r="AR13" s="2919"/>
      <c r="AS13" s="3041"/>
      <c r="AT13" s="3041"/>
      <c r="AU13" s="3053"/>
      <c r="AV13" s="3111"/>
      <c r="AW13" s="2918"/>
      <c r="AX13" s="2919"/>
      <c r="AY13" s="2919"/>
      <c r="AZ13" s="2919"/>
      <c r="BA13" s="2919"/>
      <c r="BB13" s="2919"/>
      <c r="BC13" s="2919"/>
      <c r="BD13" s="2920"/>
      <c r="BE13" s="2918"/>
      <c r="BF13" s="2919"/>
      <c r="BG13" s="2919"/>
      <c r="BH13" s="2919"/>
      <c r="BI13" s="2919"/>
      <c r="BJ13" s="2919"/>
      <c r="BK13" s="2919"/>
      <c r="BL13" s="2919"/>
      <c r="BM13" s="2919"/>
      <c r="BN13" s="2919"/>
      <c r="BO13" s="2814"/>
      <c r="BP13" s="3103"/>
      <c r="BQ13" s="2814"/>
      <c r="BR13" s="3051"/>
      <c r="BS13" s="2919"/>
      <c r="BT13" s="3041"/>
      <c r="BU13" s="3111"/>
      <c r="BV13" s="2918"/>
      <c r="BW13" s="2920"/>
      <c r="BX13" s="2918"/>
      <c r="BY13" s="2919"/>
      <c r="BZ13" s="2919"/>
      <c r="CA13" s="2919"/>
      <c r="CB13" s="2919"/>
      <c r="CC13" s="2919"/>
      <c r="CD13" s="2919"/>
    </row>
    <row r="14" spans="1:82" ht="12.75" customHeight="1">
      <c r="A14" s="2814"/>
      <c r="B14" s="2919"/>
      <c r="C14" s="2919"/>
      <c r="D14" s="2919"/>
      <c r="E14" s="2919"/>
      <c r="F14" s="2919"/>
      <c r="G14" s="2919"/>
      <c r="H14" s="2919"/>
      <c r="I14" s="2919"/>
      <c r="J14" s="2919"/>
      <c r="K14" s="2919"/>
      <c r="L14" s="2919"/>
      <c r="M14" s="2919"/>
      <c r="N14" s="2919"/>
      <c r="O14" s="2919"/>
      <c r="P14" s="2919"/>
      <c r="Q14" s="2919"/>
      <c r="R14" s="2919"/>
      <c r="S14" s="3041"/>
      <c r="T14" s="2919"/>
      <c r="U14" s="3051"/>
      <c r="V14" s="2919"/>
      <c r="W14" s="2919"/>
      <c r="X14" s="3041"/>
      <c r="Y14" s="3051"/>
      <c r="Z14" s="2919"/>
      <c r="AA14" s="2919"/>
      <c r="AB14" s="2919"/>
      <c r="AC14" s="2919"/>
      <c r="AD14" s="2919"/>
      <c r="AE14" s="2919"/>
      <c r="AF14" s="2919"/>
      <c r="AG14" s="2919"/>
      <c r="AH14" s="2919"/>
      <c r="AI14" s="2919"/>
      <c r="AJ14" s="3041"/>
      <c r="AK14" s="3041"/>
      <c r="AL14" s="3051"/>
      <c r="AM14" s="2918"/>
      <c r="AN14" s="2919"/>
      <c r="AO14" s="2920"/>
      <c r="AP14" s="2919"/>
      <c r="AQ14" s="2919"/>
      <c r="AR14" s="2919"/>
      <c r="AS14" s="3041"/>
      <c r="AT14" s="3041"/>
      <c r="AU14" s="3053"/>
      <c r="AV14" s="3111"/>
      <c r="AW14" s="2918"/>
      <c r="AX14" s="2919"/>
      <c r="AY14" s="2919"/>
      <c r="AZ14" s="2919"/>
      <c r="BA14" s="2919"/>
      <c r="BB14" s="2919"/>
      <c r="BC14" s="2919"/>
      <c r="BD14" s="2920"/>
      <c r="BE14" s="2918"/>
      <c r="BF14" s="2919"/>
      <c r="BG14" s="2919"/>
      <c r="BH14" s="2919"/>
      <c r="BI14" s="2919"/>
      <c r="BJ14" s="2919"/>
      <c r="BK14" s="2919"/>
      <c r="BL14" s="2919"/>
      <c r="BM14" s="2919"/>
      <c r="BN14" s="2919"/>
      <c r="BO14" s="2814"/>
      <c r="BP14" s="3103"/>
      <c r="BQ14" s="2814"/>
      <c r="BR14" s="3051"/>
      <c r="BS14" s="2919"/>
      <c r="BT14" s="3041"/>
      <c r="BU14" s="3111"/>
      <c r="BV14" s="2918"/>
      <c r="BW14" s="2920"/>
      <c r="BX14" s="2918"/>
      <c r="BY14" s="2919"/>
      <c r="BZ14" s="2919"/>
      <c r="CA14" s="2919"/>
      <c r="CB14" s="2919"/>
      <c r="CC14" s="2919"/>
      <c r="CD14" s="2919"/>
    </row>
    <row r="15" spans="1:82" ht="19.5" customHeight="1">
      <c r="A15" s="2814"/>
      <c r="B15" s="2919"/>
      <c r="C15" s="2919"/>
      <c r="D15" s="2919"/>
      <c r="E15" s="2919"/>
      <c r="F15" s="2919"/>
      <c r="G15" s="2919"/>
      <c r="H15" s="2919"/>
      <c r="I15" s="2919"/>
      <c r="J15" s="2919"/>
      <c r="K15" s="2919"/>
      <c r="L15" s="2919"/>
      <c r="M15" s="2919"/>
      <c r="N15" s="2919"/>
      <c r="O15" s="2919"/>
      <c r="P15" s="2919"/>
      <c r="Q15" s="2919"/>
      <c r="R15" s="2919"/>
      <c r="S15" s="3041"/>
      <c r="T15" s="2919"/>
      <c r="U15" s="3051"/>
      <c r="V15" s="2919"/>
      <c r="W15" s="2919"/>
      <c r="X15" s="3041"/>
      <c r="Y15" s="3051"/>
      <c r="Z15" s="2919"/>
      <c r="AA15" s="2919"/>
      <c r="AB15" s="2919"/>
      <c r="AC15" s="2919"/>
      <c r="AD15" s="2919"/>
      <c r="AE15" s="2919"/>
      <c r="AF15" s="2919"/>
      <c r="AG15" s="2919"/>
      <c r="AH15" s="2919"/>
      <c r="AI15" s="2919"/>
      <c r="AJ15" s="3041"/>
      <c r="AK15" s="3041"/>
      <c r="AL15" s="3051"/>
      <c r="AM15" s="2921"/>
      <c r="AN15" s="2922"/>
      <c r="AO15" s="2923"/>
      <c r="AP15" s="2919"/>
      <c r="AQ15" s="2919"/>
      <c r="AR15" s="2919"/>
      <c r="AS15" s="3041"/>
      <c r="AT15" s="3041"/>
      <c r="AU15" s="3053"/>
      <c r="AV15" s="3111"/>
      <c r="AW15" s="2918"/>
      <c r="AX15" s="2919"/>
      <c r="AY15" s="2919"/>
      <c r="AZ15" s="2919"/>
      <c r="BA15" s="2919"/>
      <c r="BB15" s="2919"/>
      <c r="BC15" s="2919"/>
      <c r="BD15" s="2920"/>
      <c r="BE15" s="2921"/>
      <c r="BF15" s="2922"/>
      <c r="BG15" s="2922"/>
      <c r="BH15" s="2922"/>
      <c r="BI15" s="2922"/>
      <c r="BJ15" s="2922"/>
      <c r="BK15" s="2922"/>
      <c r="BL15" s="2922"/>
      <c r="BM15" s="2922"/>
      <c r="BN15" s="2922"/>
      <c r="BO15" s="2814"/>
      <c r="BP15" s="3103"/>
      <c r="BQ15" s="2814"/>
      <c r="BR15" s="3051"/>
      <c r="BS15" s="2919"/>
      <c r="BT15" s="3041"/>
      <c r="BU15" s="3111"/>
      <c r="BV15" s="2918"/>
      <c r="BW15" s="2920"/>
      <c r="BX15" s="2921"/>
      <c r="BY15" s="2922"/>
      <c r="BZ15" s="2922"/>
      <c r="CA15" s="2922"/>
      <c r="CB15" s="2922"/>
      <c r="CC15" s="2922"/>
      <c r="CD15" s="2922"/>
    </row>
    <row r="16" spans="1:82" ht="13.5">
      <c r="A16" s="2814"/>
      <c r="B16" s="1334" t="s">
        <v>263</v>
      </c>
      <c r="C16" s="1276" t="s">
        <v>126</v>
      </c>
      <c r="D16" s="1276" t="s">
        <v>263</v>
      </c>
      <c r="E16" s="1276" t="s">
        <v>126</v>
      </c>
      <c r="F16" s="1276" t="s">
        <v>263</v>
      </c>
      <c r="G16" s="1276" t="s">
        <v>126</v>
      </c>
      <c r="H16" s="1276" t="s">
        <v>263</v>
      </c>
      <c r="I16" s="1276" t="s">
        <v>126</v>
      </c>
      <c r="J16" s="1276" t="s">
        <v>263</v>
      </c>
      <c r="K16" s="1276" t="s">
        <v>126</v>
      </c>
      <c r="L16" s="1276" t="s">
        <v>263</v>
      </c>
      <c r="M16" s="1276" t="s">
        <v>126</v>
      </c>
      <c r="N16" s="1276" t="s">
        <v>263</v>
      </c>
      <c r="O16" s="1276" t="s">
        <v>126</v>
      </c>
      <c r="P16" s="1276" t="s">
        <v>263</v>
      </c>
      <c r="Q16" s="1276" t="s">
        <v>126</v>
      </c>
      <c r="R16" s="1276" t="s">
        <v>263</v>
      </c>
      <c r="S16" s="1276" t="s">
        <v>126</v>
      </c>
      <c r="T16" s="2919"/>
      <c r="U16" s="1276" t="s">
        <v>263</v>
      </c>
      <c r="V16" s="1276" t="s">
        <v>126</v>
      </c>
      <c r="W16" s="1276" t="s">
        <v>148</v>
      </c>
      <c r="X16" s="1276" t="s">
        <v>264</v>
      </c>
      <c r="Y16" s="1334" t="s">
        <v>263</v>
      </c>
      <c r="Z16" s="1276" t="s">
        <v>126</v>
      </c>
      <c r="AA16" s="1276" t="s">
        <v>263</v>
      </c>
      <c r="AB16" s="1276" t="s">
        <v>126</v>
      </c>
      <c r="AC16" s="1276" t="s">
        <v>263</v>
      </c>
      <c r="AD16" s="1276" t="s">
        <v>126</v>
      </c>
      <c r="AE16" s="1276" t="s">
        <v>263</v>
      </c>
      <c r="AF16" s="1276" t="s">
        <v>126</v>
      </c>
      <c r="AG16" s="1276" t="s">
        <v>263</v>
      </c>
      <c r="AH16" s="1276" t="s">
        <v>126</v>
      </c>
      <c r="AI16" s="1276" t="s">
        <v>263</v>
      </c>
      <c r="AJ16" s="1276" t="s">
        <v>126</v>
      </c>
      <c r="AK16" s="3041"/>
      <c r="AL16" s="3051"/>
      <c r="AM16" s="1335" t="s">
        <v>263</v>
      </c>
      <c r="AN16" s="1335" t="s">
        <v>126</v>
      </c>
      <c r="AO16" s="1335" t="s">
        <v>148</v>
      </c>
      <c r="AP16" s="1335" t="s">
        <v>263</v>
      </c>
      <c r="AQ16" s="1335" t="s">
        <v>126</v>
      </c>
      <c r="AR16" s="1335" t="s">
        <v>148</v>
      </c>
      <c r="AS16" s="1335" t="s">
        <v>264</v>
      </c>
      <c r="AT16" s="3041"/>
      <c r="AU16" s="3053"/>
      <c r="AV16" s="3111"/>
      <c r="AW16" s="3093" t="s">
        <v>2850</v>
      </c>
      <c r="AX16" s="3094"/>
      <c r="AY16" s="3094"/>
      <c r="AZ16" s="3094"/>
      <c r="BA16" s="3097" t="s">
        <v>2851</v>
      </c>
      <c r="BB16" s="3097"/>
      <c r="BC16" s="3097"/>
      <c r="BD16" s="3097"/>
      <c r="BE16" s="1335" t="s">
        <v>263</v>
      </c>
      <c r="BF16" s="1335" t="s">
        <v>126</v>
      </c>
      <c r="BG16" s="1335" t="s">
        <v>148</v>
      </c>
      <c r="BH16" s="1335" t="s">
        <v>264</v>
      </c>
      <c r="BI16" s="1335" t="s">
        <v>265</v>
      </c>
      <c r="BJ16" s="1335" t="s">
        <v>513</v>
      </c>
      <c r="BK16" s="1335" t="s">
        <v>514</v>
      </c>
      <c r="BL16" s="1335" t="s">
        <v>512</v>
      </c>
      <c r="BM16" s="1336" t="s">
        <v>518</v>
      </c>
      <c r="BN16" s="1336" t="s">
        <v>520</v>
      </c>
      <c r="BO16" s="2814"/>
      <c r="BP16" s="3103"/>
      <c r="BQ16" s="2814"/>
      <c r="BR16" s="1335" t="s">
        <v>263</v>
      </c>
      <c r="BS16" s="1335" t="s">
        <v>126</v>
      </c>
      <c r="BT16" s="1335" t="s">
        <v>148</v>
      </c>
      <c r="BU16" s="1906"/>
      <c r="BV16" s="1335" t="s">
        <v>263</v>
      </c>
      <c r="BW16" s="1335" t="s">
        <v>126</v>
      </c>
      <c r="BX16" s="1335" t="s">
        <v>263</v>
      </c>
      <c r="BY16" s="1335" t="s">
        <v>126</v>
      </c>
      <c r="BZ16" s="1335" t="s">
        <v>148</v>
      </c>
      <c r="CA16" s="1335" t="s">
        <v>264</v>
      </c>
      <c r="CB16" s="1335" t="s">
        <v>265</v>
      </c>
      <c r="CC16" s="1335" t="s">
        <v>513</v>
      </c>
      <c r="CD16" s="1335" t="s">
        <v>514</v>
      </c>
    </row>
    <row r="17" spans="1:82" ht="13.5" customHeight="1">
      <c r="A17" s="1337"/>
      <c r="B17" s="3099" t="s">
        <v>2852</v>
      </c>
      <c r="C17" s="3086"/>
      <c r="D17" s="3089" t="s">
        <v>2853</v>
      </c>
      <c r="E17" s="3090"/>
      <c r="F17" s="3085" t="s">
        <v>2854</v>
      </c>
      <c r="G17" s="3086"/>
      <c r="H17" s="3089" t="s">
        <v>2855</v>
      </c>
      <c r="I17" s="3090"/>
      <c r="J17" s="3089" t="s">
        <v>2856</v>
      </c>
      <c r="K17" s="3090"/>
      <c r="L17" s="3085" t="s">
        <v>2857</v>
      </c>
      <c r="M17" s="3086"/>
      <c r="N17" s="3085" t="s">
        <v>2858</v>
      </c>
      <c r="O17" s="3086"/>
      <c r="P17" s="3085" t="s">
        <v>2859</v>
      </c>
      <c r="Q17" s="3086"/>
      <c r="R17" s="3089" t="s">
        <v>2860</v>
      </c>
      <c r="S17" s="3090"/>
      <c r="T17" s="2919"/>
      <c r="U17" s="3079" t="s">
        <v>2861</v>
      </c>
      <c r="V17" s="3079" t="s">
        <v>2862</v>
      </c>
      <c r="W17" s="3079" t="s">
        <v>2863</v>
      </c>
      <c r="X17" s="3079" t="s">
        <v>2864</v>
      </c>
      <c r="Y17" s="3082" t="s">
        <v>2865</v>
      </c>
      <c r="Z17" s="3070"/>
      <c r="AA17" s="3069" t="s">
        <v>2866</v>
      </c>
      <c r="AB17" s="3070"/>
      <c r="AC17" s="3069" t="s">
        <v>2867</v>
      </c>
      <c r="AD17" s="3070"/>
      <c r="AE17" s="3069" t="s">
        <v>2868</v>
      </c>
      <c r="AF17" s="3070"/>
      <c r="AG17" s="3069" t="s">
        <v>2869</v>
      </c>
      <c r="AH17" s="3070"/>
      <c r="AI17" s="3069" t="s">
        <v>2870</v>
      </c>
      <c r="AJ17" s="3070"/>
      <c r="AK17" s="3041"/>
      <c r="AL17" s="3051"/>
      <c r="AM17" s="3063" t="s">
        <v>2871</v>
      </c>
      <c r="AN17" s="3063" t="s">
        <v>2872</v>
      </c>
      <c r="AO17" s="3063" t="s">
        <v>2873</v>
      </c>
      <c r="AP17" s="3063" t="s">
        <v>2874</v>
      </c>
      <c r="AQ17" s="3077" t="s">
        <v>2875</v>
      </c>
      <c r="AR17" s="3077" t="s">
        <v>2876</v>
      </c>
      <c r="AS17" s="3077" t="s">
        <v>2877</v>
      </c>
      <c r="AT17" s="3041"/>
      <c r="AU17" s="3053"/>
      <c r="AV17" s="3111"/>
      <c r="AW17" s="3095"/>
      <c r="AX17" s="3096"/>
      <c r="AY17" s="3096"/>
      <c r="AZ17" s="3096"/>
      <c r="BA17" s="3098"/>
      <c r="BB17" s="3098"/>
      <c r="BC17" s="3098"/>
      <c r="BD17" s="3098"/>
      <c r="BE17" s="3077" t="s">
        <v>2878</v>
      </c>
      <c r="BF17" s="3077" t="s">
        <v>2879</v>
      </c>
      <c r="BG17" s="3077" t="s">
        <v>2880</v>
      </c>
      <c r="BH17" s="3077" t="s">
        <v>2881</v>
      </c>
      <c r="BI17" s="3077" t="s">
        <v>2882</v>
      </c>
      <c r="BJ17" s="3077" t="s">
        <v>2883</v>
      </c>
      <c r="BK17" s="3077" t="s">
        <v>2884</v>
      </c>
      <c r="BL17" s="3077" t="s">
        <v>2885</v>
      </c>
      <c r="BM17" s="3075" t="s">
        <v>2886</v>
      </c>
      <c r="BN17" s="3075" t="s">
        <v>2887</v>
      </c>
      <c r="BO17" s="1338"/>
      <c r="BP17" s="3103"/>
      <c r="BQ17" s="2814"/>
      <c r="BR17" s="3063" t="s">
        <v>2888</v>
      </c>
      <c r="BS17" s="3063" t="s">
        <v>2889</v>
      </c>
      <c r="BT17" s="3063" t="s">
        <v>2890</v>
      </c>
      <c r="BU17" s="1338"/>
      <c r="BV17" s="3065" t="s">
        <v>2891</v>
      </c>
      <c r="BW17" s="3067" t="s">
        <v>2892</v>
      </c>
      <c r="BX17" s="3061" t="s">
        <v>2893</v>
      </c>
      <c r="BY17" s="3061" t="s">
        <v>2894</v>
      </c>
      <c r="BZ17" s="3061" t="s">
        <v>2895</v>
      </c>
      <c r="CA17" s="3061" t="s">
        <v>2896</v>
      </c>
      <c r="CB17" s="3061" t="s">
        <v>2897</v>
      </c>
      <c r="CC17" s="3061" t="s">
        <v>2898</v>
      </c>
      <c r="CD17" s="3061" t="s">
        <v>2899</v>
      </c>
    </row>
    <row r="18" spans="1:82" ht="13.5" customHeight="1">
      <c r="A18" s="1221"/>
      <c r="B18" s="3100"/>
      <c r="C18" s="3088"/>
      <c r="D18" s="3091"/>
      <c r="E18" s="3092"/>
      <c r="F18" s="3087"/>
      <c r="G18" s="3088"/>
      <c r="H18" s="3091"/>
      <c r="I18" s="3092"/>
      <c r="J18" s="3091"/>
      <c r="K18" s="3092"/>
      <c r="L18" s="3087"/>
      <c r="M18" s="3088"/>
      <c r="N18" s="3087"/>
      <c r="O18" s="3088"/>
      <c r="P18" s="3087"/>
      <c r="Q18" s="3088"/>
      <c r="R18" s="3091"/>
      <c r="S18" s="3092"/>
      <c r="T18" s="2919"/>
      <c r="U18" s="3080"/>
      <c r="V18" s="3080"/>
      <c r="W18" s="3080"/>
      <c r="X18" s="3080"/>
      <c r="Y18" s="3083"/>
      <c r="Z18" s="3072"/>
      <c r="AA18" s="3071"/>
      <c r="AB18" s="3072"/>
      <c r="AC18" s="3071"/>
      <c r="AD18" s="3072"/>
      <c r="AE18" s="3071"/>
      <c r="AF18" s="3072"/>
      <c r="AG18" s="3071"/>
      <c r="AH18" s="3072"/>
      <c r="AI18" s="3071"/>
      <c r="AJ18" s="3072"/>
      <c r="AK18" s="3041"/>
      <c r="AL18" s="3051"/>
      <c r="AM18" s="3063"/>
      <c r="AN18" s="3063"/>
      <c r="AO18" s="3063"/>
      <c r="AP18" s="3063"/>
      <c r="AQ18" s="3077"/>
      <c r="AR18" s="3077"/>
      <c r="AS18" s="3077"/>
      <c r="AT18" s="3041"/>
      <c r="AU18" s="3053"/>
      <c r="AV18" s="3111"/>
      <c r="AW18" s="1339" t="s">
        <v>263</v>
      </c>
      <c r="AX18" s="1339" t="s">
        <v>126</v>
      </c>
      <c r="AY18" s="1339" t="s">
        <v>148</v>
      </c>
      <c r="AZ18" s="1339" t="s">
        <v>264</v>
      </c>
      <c r="BA18" s="1339" t="s">
        <v>263</v>
      </c>
      <c r="BB18" s="1339" t="s">
        <v>126</v>
      </c>
      <c r="BC18" s="1339" t="s">
        <v>148</v>
      </c>
      <c r="BD18" s="1339" t="s">
        <v>264</v>
      </c>
      <c r="BE18" s="3077"/>
      <c r="BF18" s="3077"/>
      <c r="BG18" s="3077"/>
      <c r="BH18" s="3077"/>
      <c r="BI18" s="3077"/>
      <c r="BJ18" s="3077"/>
      <c r="BK18" s="3077"/>
      <c r="BL18" s="3077"/>
      <c r="BM18" s="3075"/>
      <c r="BN18" s="3075"/>
      <c r="BO18" s="1221"/>
      <c r="BP18" s="3103"/>
      <c r="BQ18" s="2814"/>
      <c r="BR18" s="3063"/>
      <c r="BS18" s="3063"/>
      <c r="BT18" s="3063"/>
      <c r="BU18" s="1221"/>
      <c r="BV18" s="3065"/>
      <c r="BW18" s="3067"/>
      <c r="BX18" s="3061"/>
      <c r="BY18" s="3061"/>
      <c r="BZ18" s="3061"/>
      <c r="CA18" s="3061"/>
      <c r="CB18" s="3061"/>
      <c r="CC18" s="3061"/>
      <c r="CD18" s="3061"/>
    </row>
    <row r="19" spans="1:82" ht="12.75" customHeight="1">
      <c r="A19" s="1221"/>
      <c r="B19" s="3100"/>
      <c r="C19" s="3088"/>
      <c r="D19" s="3091"/>
      <c r="E19" s="3092"/>
      <c r="F19" s="3087"/>
      <c r="G19" s="3088"/>
      <c r="H19" s="3091"/>
      <c r="I19" s="3092"/>
      <c r="J19" s="3091"/>
      <c r="K19" s="3092"/>
      <c r="L19" s="3087"/>
      <c r="M19" s="3088"/>
      <c r="N19" s="3087"/>
      <c r="O19" s="3088"/>
      <c r="P19" s="3087"/>
      <c r="Q19" s="3088"/>
      <c r="R19" s="3091"/>
      <c r="S19" s="3092"/>
      <c r="T19" s="2919"/>
      <c r="U19" s="3080"/>
      <c r="V19" s="3080"/>
      <c r="W19" s="3080"/>
      <c r="X19" s="3080"/>
      <c r="Y19" s="3083"/>
      <c r="Z19" s="3072"/>
      <c r="AA19" s="3071"/>
      <c r="AB19" s="3072"/>
      <c r="AC19" s="3071"/>
      <c r="AD19" s="3072"/>
      <c r="AE19" s="3071"/>
      <c r="AF19" s="3072"/>
      <c r="AG19" s="3071"/>
      <c r="AH19" s="3072"/>
      <c r="AI19" s="3071"/>
      <c r="AJ19" s="3072"/>
      <c r="AK19" s="3041"/>
      <c r="AL19" s="3051"/>
      <c r="AM19" s="3063"/>
      <c r="AN19" s="3063"/>
      <c r="AO19" s="3063"/>
      <c r="AP19" s="3063"/>
      <c r="AQ19" s="3077"/>
      <c r="AR19" s="3077"/>
      <c r="AS19" s="3077"/>
      <c r="AT19" s="3041"/>
      <c r="AU19" s="3053"/>
      <c r="AV19" s="3111"/>
      <c r="AW19" s="1340"/>
      <c r="AX19" s="1340"/>
      <c r="AY19" s="1341"/>
      <c r="AZ19" s="1340"/>
      <c r="BA19" s="1341"/>
      <c r="BB19" s="1342"/>
      <c r="BC19" s="1343"/>
      <c r="BD19" s="1343"/>
      <c r="BE19" s="3077"/>
      <c r="BF19" s="3077"/>
      <c r="BG19" s="3077"/>
      <c r="BH19" s="3077"/>
      <c r="BI19" s="3077"/>
      <c r="BJ19" s="3077"/>
      <c r="BK19" s="3077"/>
      <c r="BL19" s="3077"/>
      <c r="BM19" s="3075"/>
      <c r="BN19" s="3075"/>
      <c r="BO19" s="1221"/>
      <c r="BP19" s="3103"/>
      <c r="BQ19" s="2814"/>
      <c r="BR19" s="3063"/>
      <c r="BS19" s="3063"/>
      <c r="BT19" s="3063"/>
      <c r="BU19" s="1221"/>
      <c r="BV19" s="3065"/>
      <c r="BW19" s="3067"/>
      <c r="BX19" s="3061"/>
      <c r="BY19" s="3061"/>
      <c r="BZ19" s="3061"/>
      <c r="CA19" s="3061"/>
      <c r="CB19" s="3061"/>
      <c r="CC19" s="3061"/>
      <c r="CD19" s="3061"/>
    </row>
    <row r="20" spans="1:82" ht="13.5">
      <c r="A20" s="1344"/>
      <c r="B20" s="3100"/>
      <c r="C20" s="3088"/>
      <c r="D20" s="3091"/>
      <c r="E20" s="3092"/>
      <c r="F20" s="3087"/>
      <c r="G20" s="3088"/>
      <c r="H20" s="3091"/>
      <c r="I20" s="3092"/>
      <c r="J20" s="3091"/>
      <c r="K20" s="3092"/>
      <c r="L20" s="3087"/>
      <c r="M20" s="3088"/>
      <c r="N20" s="3087"/>
      <c r="O20" s="3088"/>
      <c r="P20" s="3087"/>
      <c r="Q20" s="3088"/>
      <c r="R20" s="3091"/>
      <c r="S20" s="3092"/>
      <c r="T20" s="2919"/>
      <c r="U20" s="3080"/>
      <c r="V20" s="3080"/>
      <c r="W20" s="3080"/>
      <c r="X20" s="3080"/>
      <c r="Y20" s="3083"/>
      <c r="Z20" s="3072"/>
      <c r="AA20" s="3071"/>
      <c r="AB20" s="3072"/>
      <c r="AC20" s="3071"/>
      <c r="AD20" s="3072"/>
      <c r="AE20" s="3071"/>
      <c r="AF20" s="3072"/>
      <c r="AG20" s="3071"/>
      <c r="AH20" s="3072"/>
      <c r="AI20" s="3071"/>
      <c r="AJ20" s="3072"/>
      <c r="AK20" s="3041"/>
      <c r="AL20" s="3051"/>
      <c r="AM20" s="3063"/>
      <c r="AN20" s="3063"/>
      <c r="AO20" s="3063"/>
      <c r="AP20" s="3063"/>
      <c r="AQ20" s="3077"/>
      <c r="AR20" s="3077"/>
      <c r="AS20" s="3077"/>
      <c r="AT20" s="3041"/>
      <c r="AU20" s="3053"/>
      <c r="AV20" s="3111"/>
      <c r="AW20" s="1340"/>
      <c r="AX20" s="1340"/>
      <c r="AY20" s="1341"/>
      <c r="AZ20" s="1340"/>
      <c r="BA20" s="1341"/>
      <c r="BB20" s="1342"/>
      <c r="BC20" s="1345"/>
      <c r="BD20" s="1345"/>
      <c r="BE20" s="3077"/>
      <c r="BF20" s="3077"/>
      <c r="BG20" s="3077"/>
      <c r="BH20" s="3077"/>
      <c r="BI20" s="3077"/>
      <c r="BJ20" s="3077"/>
      <c r="BK20" s="3077"/>
      <c r="BL20" s="3077"/>
      <c r="BM20" s="3075"/>
      <c r="BN20" s="3075"/>
      <c r="BO20" s="1338"/>
      <c r="BP20" s="3103"/>
      <c r="BQ20" s="2814"/>
      <c r="BR20" s="3063"/>
      <c r="BS20" s="3063"/>
      <c r="BT20" s="3063"/>
      <c r="BU20" s="1338"/>
      <c r="BV20" s="3065"/>
      <c r="BW20" s="3067"/>
      <c r="BX20" s="3061"/>
      <c r="BY20" s="3061"/>
      <c r="BZ20" s="3061"/>
      <c r="CA20" s="3061"/>
      <c r="CB20" s="3061"/>
      <c r="CC20" s="3061"/>
      <c r="CD20" s="3061"/>
    </row>
    <row r="21" spans="1:82" ht="13.5">
      <c r="A21" s="1346"/>
      <c r="B21" s="3100"/>
      <c r="C21" s="3088"/>
      <c r="D21" s="3091"/>
      <c r="E21" s="3092"/>
      <c r="F21" s="3087"/>
      <c r="G21" s="3088"/>
      <c r="H21" s="3091"/>
      <c r="I21" s="3092"/>
      <c r="J21" s="3091"/>
      <c r="K21" s="3092"/>
      <c r="L21" s="3087"/>
      <c r="M21" s="3088"/>
      <c r="N21" s="3087"/>
      <c r="O21" s="3088"/>
      <c r="P21" s="3087"/>
      <c r="Q21" s="3088"/>
      <c r="R21" s="3091"/>
      <c r="S21" s="3092"/>
      <c r="T21" s="1347"/>
      <c r="U21" s="3080"/>
      <c r="V21" s="3080"/>
      <c r="W21" s="3080"/>
      <c r="X21" s="3080"/>
      <c r="Y21" s="3083"/>
      <c r="Z21" s="3072"/>
      <c r="AA21" s="3071"/>
      <c r="AB21" s="3072"/>
      <c r="AC21" s="3071"/>
      <c r="AD21" s="3072"/>
      <c r="AE21" s="3071"/>
      <c r="AF21" s="3072"/>
      <c r="AG21" s="3071"/>
      <c r="AH21" s="3072"/>
      <c r="AI21" s="3071"/>
      <c r="AJ21" s="3072"/>
      <c r="AK21" s="3041"/>
      <c r="AL21" s="3051"/>
      <c r="AM21" s="3063"/>
      <c r="AN21" s="3063"/>
      <c r="AO21" s="3063"/>
      <c r="AP21" s="3063"/>
      <c r="AQ21" s="3077"/>
      <c r="AR21" s="3077"/>
      <c r="AS21" s="3077"/>
      <c r="AT21" s="3041"/>
      <c r="AU21" s="3053"/>
      <c r="AV21" s="3111"/>
      <c r="AW21" s="1340"/>
      <c r="AX21" s="1340"/>
      <c r="AY21" s="1341"/>
      <c r="AZ21" s="1340"/>
      <c r="BA21" s="1341"/>
      <c r="BB21" s="1342"/>
      <c r="BC21" s="1345"/>
      <c r="BD21" s="1345"/>
      <c r="BE21" s="3077"/>
      <c r="BF21" s="3077"/>
      <c r="BG21" s="3077"/>
      <c r="BH21" s="3077"/>
      <c r="BI21" s="3077"/>
      <c r="BJ21" s="3077"/>
      <c r="BK21" s="3077"/>
      <c r="BL21" s="3077"/>
      <c r="BM21" s="3075"/>
      <c r="BN21" s="3075"/>
      <c r="BO21" s="1346"/>
      <c r="BP21" s="3103"/>
      <c r="BQ21" s="2814"/>
      <c r="BR21" s="3063"/>
      <c r="BS21" s="3063"/>
      <c r="BT21" s="3063"/>
      <c r="BU21" s="1346"/>
      <c r="BV21" s="3065"/>
      <c r="BW21" s="3067"/>
      <c r="BX21" s="3061"/>
      <c r="BY21" s="3061"/>
      <c r="BZ21" s="3061"/>
      <c r="CA21" s="3061"/>
      <c r="CB21" s="3061"/>
      <c r="CC21" s="3061"/>
      <c r="CD21" s="3061"/>
    </row>
    <row r="22" spans="1:82" ht="13.5">
      <c r="A22" s="1221"/>
      <c r="B22" s="3100"/>
      <c r="C22" s="3088"/>
      <c r="D22" s="3091"/>
      <c r="E22" s="3092"/>
      <c r="F22" s="3087"/>
      <c r="G22" s="3088"/>
      <c r="H22" s="3091"/>
      <c r="I22" s="3092"/>
      <c r="J22" s="3091"/>
      <c r="K22" s="3092"/>
      <c r="L22" s="3087"/>
      <c r="M22" s="3088"/>
      <c r="N22" s="3087"/>
      <c r="O22" s="3088"/>
      <c r="P22" s="3087"/>
      <c r="Q22" s="3088"/>
      <c r="R22" s="3091"/>
      <c r="S22" s="3092"/>
      <c r="T22" s="1348"/>
      <c r="U22" s="3080"/>
      <c r="V22" s="3080"/>
      <c r="W22" s="3080"/>
      <c r="X22" s="3080"/>
      <c r="Y22" s="3083"/>
      <c r="Z22" s="3072"/>
      <c r="AA22" s="3071"/>
      <c r="AB22" s="3072"/>
      <c r="AC22" s="3071"/>
      <c r="AD22" s="3072"/>
      <c r="AE22" s="3071"/>
      <c r="AF22" s="3072"/>
      <c r="AG22" s="3071"/>
      <c r="AH22" s="3072"/>
      <c r="AI22" s="3071"/>
      <c r="AJ22" s="3072"/>
      <c r="AK22" s="1342"/>
      <c r="AL22" s="1342"/>
      <c r="AM22" s="3063"/>
      <c r="AN22" s="3063"/>
      <c r="AO22" s="3063"/>
      <c r="AP22" s="3063"/>
      <c r="AQ22" s="3077"/>
      <c r="AR22" s="3077"/>
      <c r="AS22" s="3077"/>
      <c r="AT22" s="1349"/>
      <c r="AU22" s="1348"/>
      <c r="AV22" s="1348"/>
      <c r="AW22" s="1340"/>
      <c r="AX22" s="1340"/>
      <c r="AY22" s="1341"/>
      <c r="AZ22" s="1340"/>
      <c r="BA22" s="1150"/>
      <c r="BB22" s="1350"/>
      <c r="BC22" s="1345"/>
      <c r="BD22" s="1345"/>
      <c r="BE22" s="3077"/>
      <c r="BF22" s="3077"/>
      <c r="BG22" s="3077"/>
      <c r="BH22" s="3077"/>
      <c r="BI22" s="3077"/>
      <c r="BJ22" s="3077"/>
      <c r="BK22" s="3077"/>
      <c r="BL22" s="3077"/>
      <c r="BM22" s="3075"/>
      <c r="BN22" s="3075"/>
      <c r="BO22" s="1221"/>
      <c r="BP22" s="3103"/>
      <c r="BQ22" s="2814"/>
      <c r="BR22" s="3063"/>
      <c r="BS22" s="3063"/>
      <c r="BT22" s="3063"/>
      <c r="BU22" s="1221"/>
      <c r="BV22" s="3065"/>
      <c r="BW22" s="3067"/>
      <c r="BX22" s="3061"/>
      <c r="BY22" s="3061"/>
      <c r="BZ22" s="3061"/>
      <c r="CA22" s="3061"/>
      <c r="CB22" s="3061"/>
      <c r="CC22" s="3061"/>
      <c r="CD22" s="3061"/>
    </row>
    <row r="23" spans="1:82" ht="143.1" customHeight="1">
      <c r="A23" s="1351" t="s">
        <v>2900</v>
      </c>
      <c r="B23" s="3100"/>
      <c r="C23" s="3088"/>
      <c r="D23" s="3091"/>
      <c r="E23" s="3092"/>
      <c r="F23" s="3087"/>
      <c r="G23" s="3088"/>
      <c r="H23" s="3091"/>
      <c r="I23" s="3092"/>
      <c r="J23" s="3091"/>
      <c r="K23" s="3092"/>
      <c r="L23" s="3087"/>
      <c r="M23" s="3088"/>
      <c r="N23" s="3087"/>
      <c r="O23" s="3088"/>
      <c r="P23" s="3087"/>
      <c r="Q23" s="3088"/>
      <c r="R23" s="3091"/>
      <c r="S23" s="3092"/>
      <c r="T23" s="1352" t="s">
        <v>2901</v>
      </c>
      <c r="U23" s="3081"/>
      <c r="V23" s="3081"/>
      <c r="W23" s="3081"/>
      <c r="X23" s="3081"/>
      <c r="Y23" s="3084"/>
      <c r="Z23" s="3074"/>
      <c r="AA23" s="3073"/>
      <c r="AB23" s="3074"/>
      <c r="AC23" s="3073"/>
      <c r="AD23" s="3074"/>
      <c r="AE23" s="3073"/>
      <c r="AF23" s="3074"/>
      <c r="AG23" s="3073"/>
      <c r="AH23" s="3074"/>
      <c r="AI23" s="3073"/>
      <c r="AJ23" s="3074"/>
      <c r="AK23" s="1352" t="s">
        <v>2902</v>
      </c>
      <c r="AL23" s="1352" t="s">
        <v>2902</v>
      </c>
      <c r="AM23" s="3064"/>
      <c r="AN23" s="3064"/>
      <c r="AO23" s="3064"/>
      <c r="AP23" s="3064"/>
      <c r="AQ23" s="3078"/>
      <c r="AR23" s="3078"/>
      <c r="AS23" s="3078"/>
      <c r="AT23" s="1352" t="s">
        <v>2903</v>
      </c>
      <c r="AU23" s="1352" t="s">
        <v>2904</v>
      </c>
      <c r="AV23" s="1352" t="s">
        <v>2905</v>
      </c>
      <c r="AW23" s="1353"/>
      <c r="AX23" s="1353"/>
      <c r="AY23" s="1354"/>
      <c r="AZ23" s="1353"/>
      <c r="BA23" s="1355"/>
      <c r="BB23" s="1356"/>
      <c r="BC23" s="1357"/>
      <c r="BD23" s="1357"/>
      <c r="BE23" s="3078"/>
      <c r="BF23" s="3078"/>
      <c r="BG23" s="3078"/>
      <c r="BH23" s="3078"/>
      <c r="BI23" s="3078"/>
      <c r="BJ23" s="3078"/>
      <c r="BK23" s="3078"/>
      <c r="BL23" s="3078"/>
      <c r="BM23" s="3076"/>
      <c r="BN23" s="3076"/>
      <c r="BO23" s="1352" t="s">
        <v>2902</v>
      </c>
      <c r="BP23" s="1351" t="s">
        <v>2906</v>
      </c>
      <c r="BQ23" s="1320" t="s">
        <v>2902</v>
      </c>
      <c r="BR23" s="3064"/>
      <c r="BS23" s="3064"/>
      <c r="BT23" s="3064"/>
      <c r="BU23" s="1351" t="s">
        <v>2907</v>
      </c>
      <c r="BV23" s="3066"/>
      <c r="BW23" s="3068"/>
      <c r="BX23" s="3062"/>
      <c r="BY23" s="3062"/>
      <c r="BZ23" s="3062"/>
      <c r="CA23" s="3062"/>
      <c r="CB23" s="3062"/>
      <c r="CC23" s="3062"/>
      <c r="CD23" s="3062"/>
    </row>
    <row r="24" spans="1:82" ht="14.25" thickBot="1">
      <c r="A24" s="1358" t="s">
        <v>420</v>
      </c>
      <c r="B24" s="3054" t="s">
        <v>420</v>
      </c>
      <c r="C24" s="3055"/>
      <c r="D24" s="3055"/>
      <c r="E24" s="3055"/>
      <c r="F24" s="3055"/>
      <c r="G24" s="3055"/>
      <c r="H24" s="3055"/>
      <c r="I24" s="3055"/>
      <c r="J24" s="3055"/>
      <c r="K24" s="3055"/>
      <c r="L24" s="3055"/>
      <c r="M24" s="3055"/>
      <c r="N24" s="3055"/>
      <c r="O24" s="3055"/>
      <c r="P24" s="3055"/>
      <c r="Q24" s="3055"/>
      <c r="R24" s="3055"/>
      <c r="S24" s="3056"/>
      <c r="T24" s="1359" t="s">
        <v>420</v>
      </c>
      <c r="U24" s="1359" t="s">
        <v>420</v>
      </c>
      <c r="V24" s="1359" t="s">
        <v>420</v>
      </c>
      <c r="W24" s="1359" t="s">
        <v>420</v>
      </c>
      <c r="X24" s="1359" t="s">
        <v>420</v>
      </c>
      <c r="Y24" s="1359" t="s">
        <v>420</v>
      </c>
      <c r="Z24" s="1360"/>
      <c r="AA24" s="1359" t="s">
        <v>420</v>
      </c>
      <c r="AB24" s="1360"/>
      <c r="AC24" s="1359" t="s">
        <v>420</v>
      </c>
      <c r="AD24" s="1360"/>
      <c r="AE24" s="1359" t="s">
        <v>420</v>
      </c>
      <c r="AF24" s="1360"/>
      <c r="AG24" s="1359" t="s">
        <v>420</v>
      </c>
      <c r="AH24" s="1360"/>
      <c r="AI24" s="1359" t="s">
        <v>420</v>
      </c>
      <c r="AJ24" s="1360"/>
      <c r="AK24" s="1359" t="s">
        <v>420</v>
      </c>
      <c r="AL24" s="1359" t="s">
        <v>420</v>
      </c>
      <c r="AM24" s="3057" t="s">
        <v>420</v>
      </c>
      <c r="AN24" s="3058"/>
      <c r="AO24" s="3059"/>
      <c r="AP24" s="3057" t="s">
        <v>420</v>
      </c>
      <c r="AQ24" s="3058"/>
      <c r="AR24" s="3058"/>
      <c r="AS24" s="3060"/>
      <c r="AT24" s="1359" t="s">
        <v>420</v>
      </c>
      <c r="AU24" s="1359" t="s">
        <v>420</v>
      </c>
      <c r="AV24" s="1359" t="s">
        <v>420</v>
      </c>
      <c r="AW24" s="1359" t="s">
        <v>420</v>
      </c>
      <c r="AX24" s="1359" t="s">
        <v>420</v>
      </c>
      <c r="AY24" s="1359" t="s">
        <v>420</v>
      </c>
      <c r="AZ24" s="1359" t="s">
        <v>420</v>
      </c>
      <c r="BA24" s="1359" t="s">
        <v>420</v>
      </c>
      <c r="BB24" s="1359" t="s">
        <v>420</v>
      </c>
      <c r="BC24" s="1359" t="s">
        <v>420</v>
      </c>
      <c r="BD24" s="1359" t="s">
        <v>420</v>
      </c>
      <c r="BE24" s="3057" t="s">
        <v>420</v>
      </c>
      <c r="BF24" s="3058"/>
      <c r="BG24" s="3058"/>
      <c r="BH24" s="3058"/>
      <c r="BI24" s="3058"/>
      <c r="BJ24" s="3058"/>
      <c r="BK24" s="3058"/>
      <c r="BL24" s="3058"/>
      <c r="BM24" s="3058"/>
      <c r="BN24" s="3059"/>
      <c r="BO24" s="1361" t="s">
        <v>420</v>
      </c>
      <c r="BP24" s="1361" t="s">
        <v>420</v>
      </c>
      <c r="BQ24" s="1904" t="s">
        <v>420</v>
      </c>
      <c r="BR24" s="1361" t="s">
        <v>420</v>
      </c>
      <c r="BS24" s="1361" t="s">
        <v>420</v>
      </c>
      <c r="BT24" s="1361" t="s">
        <v>420</v>
      </c>
      <c r="BU24" s="1361" t="s">
        <v>420</v>
      </c>
      <c r="BV24" s="1361" t="s">
        <v>420</v>
      </c>
      <c r="BW24" s="1361" t="s">
        <v>420</v>
      </c>
      <c r="BX24" s="3057" t="s">
        <v>420</v>
      </c>
      <c r="BY24" s="3058"/>
      <c r="BZ24" s="3058"/>
      <c r="CA24" s="3058"/>
      <c r="CB24" s="3058"/>
      <c r="CC24" s="3058"/>
      <c r="CD24" s="3059"/>
    </row>
    <row r="25" spans="1:82" ht="59.1" customHeight="1" thickTop="1">
      <c r="A25" s="1362"/>
      <c r="B25" s="1363"/>
      <c r="C25" s="1364"/>
      <c r="D25" s="1363"/>
      <c r="E25" s="1364"/>
      <c r="F25" s="1363"/>
      <c r="G25" s="1364"/>
      <c r="H25" s="1363"/>
      <c r="I25" s="1364"/>
      <c r="J25" s="1363"/>
      <c r="K25" s="1364"/>
      <c r="L25" s="1363"/>
      <c r="M25" s="1364"/>
      <c r="N25" s="1363"/>
      <c r="O25" s="1364"/>
      <c r="P25" s="1363"/>
      <c r="Q25" s="1364"/>
      <c r="R25" s="1363"/>
      <c r="S25" s="1364"/>
      <c r="T25" s="1365"/>
      <c r="U25" s="1366"/>
      <c r="V25" s="1366"/>
      <c r="W25" s="1366"/>
      <c r="X25" s="1366"/>
      <c r="Y25" s="1367"/>
      <c r="Z25" s="1367"/>
      <c r="AA25" s="1368"/>
      <c r="AB25" s="1368"/>
      <c r="AC25" s="1368"/>
      <c r="AD25" s="1368"/>
      <c r="AE25" s="1368"/>
      <c r="AF25" s="1368"/>
      <c r="AG25" s="1368"/>
      <c r="AH25" s="1368"/>
      <c r="AI25" s="1368"/>
      <c r="AJ25" s="1363"/>
      <c r="AK25" s="1362"/>
      <c r="AL25" s="1368"/>
      <c r="AM25" s="1366"/>
      <c r="AN25" s="1366"/>
      <c r="AO25" s="1366"/>
      <c r="AP25" s="1366"/>
      <c r="AQ25" s="1366"/>
      <c r="AR25" s="1366"/>
      <c r="AS25" s="1369"/>
      <c r="AT25" s="1370"/>
      <c r="AU25" s="1365"/>
      <c r="AV25" s="1370"/>
      <c r="AW25" s="1371"/>
      <c r="AX25" s="1372"/>
      <c r="AY25" s="1372"/>
      <c r="AZ25" s="1372"/>
      <c r="BA25" s="1366"/>
      <c r="BB25" s="1366"/>
      <c r="BC25" s="1366"/>
      <c r="BD25" s="1366"/>
      <c r="BE25" s="1366"/>
      <c r="BF25" s="1366"/>
      <c r="BG25" s="1366"/>
      <c r="BH25" s="1369"/>
      <c r="BI25" s="1366"/>
      <c r="BJ25" s="1366"/>
      <c r="BK25" s="1366"/>
      <c r="BL25" s="1366"/>
      <c r="BM25" s="1373"/>
      <c r="BN25" s="1373"/>
      <c r="BO25" s="1368"/>
      <c r="BP25" s="1368"/>
      <c r="BQ25" s="1905"/>
      <c r="BR25" s="1366"/>
      <c r="BS25" s="1366"/>
      <c r="BT25" s="1366"/>
      <c r="BU25" s="1368"/>
      <c r="BV25" s="1366"/>
      <c r="BW25" s="1366"/>
      <c r="BX25" s="1366"/>
      <c r="BY25" s="1366"/>
      <c r="BZ25" s="1366"/>
      <c r="CA25" s="1369"/>
      <c r="CB25" s="1366"/>
      <c r="CC25" s="1366"/>
      <c r="CD25" s="1366"/>
    </row>
    <row r="26" spans="1:82">
      <c r="A26" s="1374">
        <v>1</v>
      </c>
      <c r="B26" s="1374">
        <v>2</v>
      </c>
      <c r="C26" s="1374"/>
      <c r="D26" s="1374"/>
      <c r="E26" s="1374"/>
      <c r="F26" s="1374"/>
      <c r="G26" s="1374"/>
      <c r="H26" s="1374"/>
      <c r="I26" s="1374"/>
      <c r="J26" s="1374"/>
      <c r="K26" s="1374"/>
      <c r="L26" s="1374"/>
      <c r="M26" s="1374"/>
      <c r="T26" s="1193">
        <v>3</v>
      </c>
      <c r="U26" s="1193">
        <v>4</v>
      </c>
      <c r="Y26" s="1193">
        <v>5</v>
      </c>
      <c r="AA26" s="1374"/>
      <c r="AB26" s="1374"/>
      <c r="AC26" s="1374"/>
      <c r="AD26" s="1374"/>
      <c r="AE26" s="1374"/>
      <c r="AF26" s="1374"/>
      <c r="AG26" s="1374"/>
      <c r="AH26" s="1374"/>
      <c r="AI26" s="1374"/>
      <c r="AJ26" s="1374"/>
      <c r="AK26" s="1374">
        <v>6</v>
      </c>
      <c r="AL26" s="1374">
        <v>6</v>
      </c>
      <c r="AM26" s="1193">
        <v>7</v>
      </c>
      <c r="AN26" s="1374"/>
      <c r="AO26" s="1374"/>
      <c r="AP26" s="1374">
        <v>8</v>
      </c>
      <c r="AQ26" s="1374"/>
      <c r="AR26" s="1374"/>
      <c r="AS26" s="1374"/>
      <c r="AT26" s="1374">
        <v>9</v>
      </c>
      <c r="AU26" s="1374">
        <v>10</v>
      </c>
      <c r="AV26" s="1374">
        <v>11</v>
      </c>
      <c r="AW26" s="1374">
        <v>12</v>
      </c>
      <c r="AX26" s="1374"/>
      <c r="AY26" s="1374"/>
      <c r="AZ26" s="1374"/>
      <c r="BA26" s="1374"/>
      <c r="BB26" s="1374"/>
      <c r="BC26" s="1374"/>
      <c r="BD26" s="1374"/>
      <c r="BE26" s="1374">
        <v>13</v>
      </c>
      <c r="BI26" s="1374"/>
      <c r="BL26" s="1374"/>
      <c r="BM26" s="1374"/>
      <c r="BO26" s="1193">
        <v>14</v>
      </c>
      <c r="BP26" s="1193">
        <v>14</v>
      </c>
      <c r="BQ26" s="1327">
        <v>14</v>
      </c>
      <c r="BR26" s="1193">
        <v>15</v>
      </c>
      <c r="BU26" s="1193">
        <v>16</v>
      </c>
      <c r="BV26" s="1193">
        <v>17</v>
      </c>
      <c r="BX26" s="1374">
        <v>18</v>
      </c>
      <c r="CB26" s="1374"/>
    </row>
    <row r="27" spans="1:82">
      <c r="A27" s="1374"/>
      <c r="B27" s="1374"/>
      <c r="C27" s="1374"/>
      <c r="D27" s="1374"/>
      <c r="E27" s="1374"/>
      <c r="F27" s="1374"/>
      <c r="G27" s="1374"/>
      <c r="H27" s="1374"/>
      <c r="I27" s="1374"/>
      <c r="J27" s="1374"/>
      <c r="K27" s="1374"/>
      <c r="L27" s="1374"/>
      <c r="M27" s="1374"/>
      <c r="AA27" s="1374"/>
      <c r="AB27" s="1374"/>
      <c r="AC27" s="1374"/>
      <c r="AD27" s="1374"/>
      <c r="AE27" s="1374"/>
      <c r="AF27" s="1374"/>
      <c r="AG27" s="1374"/>
      <c r="AH27" s="1374"/>
      <c r="AI27" s="1374"/>
      <c r="AJ27" s="1374"/>
      <c r="AK27" s="1374"/>
      <c r="AL27" s="1374"/>
      <c r="AN27" s="1374"/>
      <c r="AO27" s="1374"/>
      <c r="AP27" s="1374"/>
      <c r="AQ27" s="1374"/>
      <c r="AR27" s="1374"/>
      <c r="AS27" s="1374"/>
      <c r="AT27" s="1374"/>
      <c r="AU27" s="1374"/>
      <c r="AV27" s="1374"/>
      <c r="AW27" s="1374"/>
      <c r="AX27" s="1374"/>
      <c r="AY27" s="1374"/>
      <c r="AZ27" s="1374"/>
      <c r="BA27" s="1374"/>
      <c r="BB27" s="1374"/>
      <c r="BC27" s="1374"/>
      <c r="BD27" s="1374"/>
      <c r="BE27" s="1374"/>
      <c r="BI27" s="1374"/>
      <c r="BL27" s="1374"/>
      <c r="BM27" s="1374"/>
      <c r="BX27" s="1374"/>
      <c r="CB27" s="1374"/>
    </row>
    <row r="28" spans="1:82">
      <c r="A28" s="1374"/>
      <c r="B28" s="1374"/>
      <c r="C28" s="1374"/>
      <c r="D28" s="1374"/>
      <c r="E28" s="1374"/>
      <c r="F28" s="1374"/>
      <c r="G28" s="1374"/>
      <c r="H28" s="1374"/>
      <c r="I28" s="1374"/>
      <c r="J28" s="1374"/>
      <c r="K28" s="1374"/>
      <c r="L28" s="1374"/>
      <c r="M28" s="1374"/>
      <c r="AA28" s="1374"/>
      <c r="AB28" s="1374"/>
      <c r="AC28" s="1374"/>
      <c r="AD28" s="1374"/>
      <c r="AE28" s="1374"/>
      <c r="AF28" s="1374"/>
      <c r="AG28" s="1374"/>
      <c r="AH28" s="1374"/>
      <c r="AI28" s="1374"/>
      <c r="AJ28" s="1374"/>
      <c r="AK28" s="1374"/>
      <c r="AL28" s="1374"/>
      <c r="AN28" s="1374"/>
      <c r="AO28" s="1374"/>
      <c r="AP28" s="1374"/>
      <c r="AQ28" s="1374"/>
      <c r="AR28" s="1374"/>
      <c r="AS28" s="1374"/>
      <c r="AT28" s="1374"/>
      <c r="AU28" s="1374"/>
      <c r="AV28" s="1374"/>
      <c r="AW28" s="1374"/>
      <c r="AX28" s="1374"/>
      <c r="AY28" s="1374"/>
      <c r="AZ28" s="1374"/>
      <c r="BA28" s="1374"/>
      <c r="BB28" s="1374"/>
      <c r="BC28" s="1374"/>
      <c r="BD28" s="1374"/>
      <c r="BE28" s="1374"/>
      <c r="BI28" s="1374"/>
      <c r="BL28" s="1374"/>
      <c r="BM28" s="1374"/>
      <c r="BX28" s="1374"/>
      <c r="CB28" s="1374"/>
    </row>
    <row r="29" spans="1:82" ht="12.95" customHeight="1">
      <c r="A29" s="1374"/>
      <c r="B29" s="1374"/>
      <c r="C29" s="1374"/>
      <c r="D29" s="1374"/>
      <c r="E29" s="1374"/>
      <c r="F29" s="1374"/>
      <c r="G29" s="1374"/>
      <c r="H29" s="1374"/>
      <c r="I29" s="1374"/>
      <c r="J29" s="1374"/>
      <c r="K29" s="1374"/>
      <c r="L29" s="1374"/>
      <c r="M29" s="1374"/>
      <c r="AA29" s="1374"/>
      <c r="AB29" s="1374"/>
      <c r="AC29" s="1374"/>
      <c r="AD29" s="1374"/>
      <c r="AE29" s="1374"/>
      <c r="AF29" s="1374"/>
      <c r="AG29" s="1374"/>
      <c r="AH29" s="1374"/>
      <c r="AI29" s="1374"/>
      <c r="AJ29" s="1374"/>
      <c r="AK29" s="1374"/>
      <c r="AL29" s="1374"/>
      <c r="AN29" s="1374"/>
      <c r="AO29" s="1374"/>
      <c r="AP29" s="1374"/>
      <c r="AQ29" s="1374"/>
      <c r="AR29" s="1374"/>
      <c r="AS29" s="1374"/>
      <c r="AT29" s="1374"/>
      <c r="AU29" s="1374"/>
      <c r="AV29" s="1374"/>
      <c r="AW29" s="1374"/>
      <c r="AX29" s="1374"/>
      <c r="AY29" s="1374"/>
      <c r="AZ29" s="1374"/>
      <c r="BA29" s="1374"/>
      <c r="BB29" s="1374"/>
      <c r="BC29" s="1374"/>
      <c r="BD29" s="1374"/>
      <c r="BE29" s="1374"/>
      <c r="BI29" s="1374"/>
      <c r="BL29" s="1374"/>
      <c r="BM29" s="1374"/>
      <c r="BX29" s="1374"/>
      <c r="CB29" s="1374"/>
    </row>
    <row r="30" spans="1:82">
      <c r="A30" s="1374"/>
      <c r="B30" s="1374"/>
      <c r="C30" s="1374"/>
      <c r="D30" s="1374"/>
      <c r="E30" s="1374"/>
      <c r="F30" s="1374"/>
      <c r="G30" s="1374"/>
      <c r="H30" s="1374"/>
      <c r="I30" s="1374"/>
      <c r="J30" s="1374"/>
      <c r="K30" s="1374"/>
      <c r="L30" s="1374"/>
      <c r="M30" s="1374"/>
      <c r="AA30" s="1374"/>
      <c r="AB30" s="1374"/>
      <c r="AC30" s="1374"/>
      <c r="AD30" s="1374"/>
      <c r="AE30" s="1374"/>
      <c r="AF30" s="1374"/>
      <c r="AG30" s="1374"/>
      <c r="AH30" s="1374"/>
      <c r="AI30" s="1374"/>
      <c r="AJ30" s="1374"/>
      <c r="AK30" s="1374"/>
      <c r="AL30" s="1374"/>
      <c r="AN30" s="1374"/>
      <c r="AO30" s="1374"/>
      <c r="AP30" s="1374"/>
      <c r="AQ30" s="1374"/>
      <c r="AR30" s="1374"/>
      <c r="AS30" s="1374"/>
      <c r="AT30" s="1374"/>
      <c r="AU30" s="1374"/>
      <c r="AV30" s="1374"/>
      <c r="AW30" s="1374"/>
      <c r="AX30" s="1374"/>
      <c r="AY30" s="1374"/>
      <c r="AZ30" s="1374"/>
      <c r="BA30" s="1374"/>
      <c r="BB30" s="1374"/>
      <c r="BC30" s="1374"/>
      <c r="BD30" s="1374"/>
      <c r="BE30" s="1374"/>
      <c r="BI30" s="1374"/>
      <c r="BL30" s="1374"/>
      <c r="BM30" s="1374"/>
      <c r="BX30" s="1374"/>
      <c r="CB30" s="1374"/>
    </row>
    <row r="31" spans="1:82">
      <c r="A31" s="1374"/>
      <c r="B31" s="1374"/>
      <c r="C31" s="1374"/>
      <c r="D31" s="1374"/>
      <c r="E31" s="1374"/>
      <c r="F31" s="1374"/>
      <c r="G31" s="1374"/>
      <c r="H31" s="1374"/>
      <c r="I31" s="1374"/>
      <c r="J31" s="1374"/>
      <c r="K31" s="1374"/>
      <c r="L31" s="1374"/>
      <c r="M31" s="1374"/>
      <c r="AA31" s="1374"/>
      <c r="AB31" s="1374"/>
      <c r="AC31" s="1374"/>
      <c r="AD31" s="1374"/>
      <c r="AE31" s="1374"/>
      <c r="AF31" s="1374"/>
      <c r="AG31" s="1374"/>
      <c r="AH31" s="1374"/>
      <c r="AI31" s="1374"/>
      <c r="AJ31" s="1374"/>
      <c r="AK31" s="1374"/>
      <c r="AL31" s="1374"/>
      <c r="AN31" s="1374"/>
      <c r="AO31" s="1374"/>
      <c r="AP31" s="1374"/>
      <c r="AQ31" s="1374"/>
      <c r="AR31" s="1374"/>
      <c r="AS31" s="1374"/>
      <c r="AT31" s="1374"/>
      <c r="AU31" s="1374"/>
      <c r="AV31" s="1374"/>
      <c r="AW31" s="1374"/>
      <c r="AX31" s="1374"/>
      <c r="AY31" s="1374"/>
      <c r="AZ31" s="1374"/>
      <c r="BA31" s="1374"/>
      <c r="BB31" s="1374"/>
      <c r="BC31" s="1374"/>
      <c r="BD31" s="1374"/>
      <c r="BE31" s="1374"/>
      <c r="BI31" s="1374"/>
      <c r="BL31" s="1374"/>
      <c r="BM31" s="1374"/>
      <c r="BX31" s="1374"/>
      <c r="CB31" s="1374"/>
    </row>
    <row r="32" spans="1:82">
      <c r="A32" s="1374"/>
      <c r="B32" s="1374"/>
      <c r="C32" s="1374"/>
      <c r="D32" s="1374"/>
      <c r="E32" s="1374"/>
      <c r="F32" s="1374"/>
      <c r="G32" s="1374"/>
      <c r="H32" s="1374"/>
      <c r="I32" s="1374"/>
      <c r="J32" s="1374"/>
      <c r="K32" s="1374"/>
      <c r="L32" s="1374"/>
      <c r="M32" s="1374"/>
      <c r="AA32" s="1374"/>
      <c r="AB32" s="1374"/>
      <c r="AC32" s="1374"/>
      <c r="AD32" s="1374"/>
      <c r="AE32" s="1374"/>
      <c r="AF32" s="1374"/>
      <c r="AG32" s="1374"/>
      <c r="AH32" s="1374"/>
      <c r="AI32" s="1374"/>
      <c r="AJ32" s="1374"/>
      <c r="AK32" s="1374"/>
      <c r="AL32" s="1374"/>
      <c r="AN32" s="1374"/>
      <c r="AO32" s="1374"/>
      <c r="AP32" s="1374"/>
      <c r="AQ32" s="1374"/>
      <c r="AR32" s="1374"/>
      <c r="AS32" s="1374"/>
      <c r="AT32" s="1374"/>
      <c r="AU32" s="1374"/>
      <c r="AV32" s="1374"/>
      <c r="AW32" s="1374"/>
      <c r="AX32" s="1374"/>
      <c r="AY32" s="1374"/>
      <c r="AZ32" s="1374"/>
      <c r="BA32" s="1374"/>
      <c r="BB32" s="1374"/>
      <c r="BC32" s="1374"/>
      <c r="BD32" s="1374"/>
      <c r="BE32" s="1374"/>
      <c r="BI32" s="1374"/>
      <c r="BL32" s="1374"/>
      <c r="BM32" s="1374"/>
      <c r="BX32" s="1374"/>
      <c r="CB32" s="1374"/>
    </row>
    <row r="33" spans="1:80">
      <c r="A33" s="1374"/>
      <c r="B33" s="1374"/>
      <c r="C33" s="1374"/>
      <c r="D33" s="1374"/>
      <c r="E33" s="1374"/>
      <c r="F33" s="1374"/>
      <c r="G33" s="1374"/>
      <c r="H33" s="1374"/>
      <c r="I33" s="1374"/>
      <c r="J33" s="1374"/>
      <c r="K33" s="1374"/>
      <c r="L33" s="1374"/>
      <c r="M33" s="1374"/>
      <c r="AA33" s="1374"/>
      <c r="AB33" s="1374"/>
      <c r="AC33" s="1374"/>
      <c r="AD33" s="1374"/>
      <c r="AE33" s="1374"/>
      <c r="AF33" s="1374"/>
      <c r="AG33" s="1374"/>
      <c r="AH33" s="1374"/>
      <c r="AI33" s="1374"/>
      <c r="AJ33" s="1374"/>
      <c r="AK33" s="1374"/>
      <c r="AL33" s="1374"/>
      <c r="AN33" s="1374"/>
      <c r="AO33" s="1374"/>
      <c r="AP33" s="1374"/>
      <c r="AQ33" s="1374"/>
      <c r="AR33" s="1374"/>
      <c r="AS33" s="1374"/>
      <c r="AT33" s="1374"/>
      <c r="AU33" s="1374"/>
      <c r="AV33" s="1374"/>
      <c r="AW33" s="1374"/>
      <c r="AX33" s="1374"/>
      <c r="AY33" s="1374"/>
      <c r="AZ33" s="1374"/>
      <c r="BA33" s="1374"/>
      <c r="BB33" s="1374"/>
      <c r="BC33" s="1374"/>
      <c r="BD33" s="1374"/>
      <c r="BE33" s="1374"/>
      <c r="BI33" s="1374"/>
      <c r="BL33" s="1374"/>
      <c r="BM33" s="1374"/>
      <c r="BX33" s="1374"/>
      <c r="CB33" s="1374"/>
    </row>
    <row r="34" spans="1:80">
      <c r="A34" s="1374"/>
      <c r="B34" s="1374"/>
      <c r="C34" s="1374"/>
      <c r="D34" s="1374"/>
      <c r="E34" s="1374"/>
      <c r="F34" s="1374"/>
      <c r="G34" s="1374"/>
      <c r="H34" s="1374"/>
      <c r="I34" s="1374"/>
      <c r="J34" s="1374"/>
      <c r="K34" s="1374"/>
      <c r="L34" s="1374"/>
      <c r="M34" s="1374"/>
      <c r="AA34" s="1374"/>
      <c r="AB34" s="1374"/>
      <c r="AC34" s="1374"/>
      <c r="AD34" s="1374"/>
      <c r="AE34" s="1374"/>
      <c r="AF34" s="1374"/>
      <c r="AG34" s="1374"/>
      <c r="AH34" s="1374"/>
      <c r="AI34" s="1374"/>
      <c r="AJ34" s="1374"/>
      <c r="AK34" s="1374"/>
      <c r="AL34" s="1374"/>
      <c r="AN34" s="1374"/>
      <c r="AO34" s="1374"/>
      <c r="AP34" s="1374"/>
      <c r="AQ34" s="1374"/>
      <c r="AR34" s="1374"/>
      <c r="AS34" s="1374"/>
      <c r="AT34" s="1374"/>
      <c r="AU34" s="1374"/>
      <c r="AV34" s="1374"/>
      <c r="AW34" s="1374"/>
      <c r="AX34" s="1374"/>
      <c r="AY34" s="1374"/>
      <c r="AZ34" s="1374"/>
      <c r="BA34" s="1374"/>
      <c r="BB34" s="1374"/>
      <c r="BC34" s="1374"/>
      <c r="BD34" s="1374"/>
      <c r="BE34" s="1374"/>
      <c r="BI34" s="1374"/>
      <c r="BL34" s="1374"/>
      <c r="BM34" s="1374"/>
      <c r="BX34" s="1374"/>
      <c r="CB34" s="1374"/>
    </row>
    <row r="35" spans="1:80">
      <c r="A35" s="1374"/>
      <c r="B35" s="1374"/>
      <c r="C35" s="1374"/>
      <c r="D35" s="1374"/>
      <c r="E35" s="1374"/>
      <c r="F35" s="1374"/>
      <c r="G35" s="1374"/>
      <c r="H35" s="1374"/>
      <c r="I35" s="1374"/>
      <c r="J35" s="1374"/>
      <c r="K35" s="1374"/>
      <c r="L35" s="1374"/>
      <c r="M35" s="1374"/>
      <c r="AA35" s="1374"/>
      <c r="AB35" s="1374"/>
      <c r="AC35" s="1374"/>
      <c r="AD35" s="1374"/>
      <c r="AE35" s="1374"/>
      <c r="AF35" s="1374"/>
      <c r="AG35" s="1374"/>
      <c r="AH35" s="1374"/>
      <c r="AI35" s="1374"/>
      <c r="AJ35" s="1374"/>
      <c r="AK35" s="1374"/>
      <c r="AL35" s="1374"/>
      <c r="AN35" s="1374"/>
      <c r="AO35" s="1374"/>
      <c r="AP35" s="1374"/>
      <c r="AQ35" s="1374"/>
      <c r="AR35" s="1374"/>
      <c r="AS35" s="1374"/>
      <c r="AT35" s="1374"/>
      <c r="AU35" s="1374"/>
      <c r="AV35" s="1374"/>
      <c r="AW35" s="1374"/>
      <c r="AX35" s="1374"/>
      <c r="AY35" s="1374"/>
      <c r="AZ35" s="1374"/>
      <c r="BA35" s="1374"/>
      <c r="BB35" s="1374"/>
      <c r="BC35" s="1374"/>
      <c r="BD35" s="1374"/>
      <c r="BE35" s="1374"/>
      <c r="BI35" s="1374"/>
      <c r="BL35" s="1374"/>
      <c r="BM35" s="1374"/>
      <c r="BX35" s="1374"/>
      <c r="CB35" s="1374"/>
    </row>
    <row r="36" spans="1:80">
      <c r="A36" s="1374"/>
      <c r="B36" s="1374"/>
      <c r="C36" s="1374"/>
      <c r="D36" s="1374"/>
      <c r="E36" s="1374"/>
      <c r="F36" s="1374"/>
      <c r="G36" s="1374"/>
      <c r="H36" s="1374"/>
      <c r="I36" s="1374"/>
      <c r="J36" s="1374"/>
      <c r="K36" s="1374"/>
      <c r="L36" s="1374"/>
      <c r="M36" s="1374"/>
      <c r="AA36" s="1374"/>
      <c r="AB36" s="1374"/>
      <c r="AC36" s="1374"/>
      <c r="AD36" s="1374"/>
      <c r="AE36" s="1374"/>
      <c r="AF36" s="1374"/>
      <c r="AG36" s="1374"/>
      <c r="AH36" s="1374"/>
      <c r="AI36" s="1374"/>
      <c r="AJ36" s="1374"/>
      <c r="AK36" s="1374"/>
      <c r="AL36" s="1374"/>
      <c r="AN36" s="1374"/>
      <c r="AO36" s="1374"/>
      <c r="AP36" s="1374"/>
      <c r="AQ36" s="1374"/>
      <c r="AR36" s="1374"/>
      <c r="AS36" s="1374"/>
      <c r="AT36" s="1374"/>
      <c r="AU36" s="1374"/>
      <c r="AV36" s="1374"/>
      <c r="AW36" s="1374"/>
      <c r="AX36" s="1374"/>
      <c r="AY36" s="1374"/>
      <c r="AZ36" s="1374"/>
      <c r="BA36" s="1374"/>
      <c r="BB36" s="1374"/>
      <c r="BC36" s="1374"/>
      <c r="BD36" s="1374"/>
      <c r="BE36" s="1374"/>
      <c r="BI36" s="1374"/>
      <c r="BL36" s="1374"/>
      <c r="BM36" s="1374"/>
      <c r="BX36" s="1374"/>
      <c r="CB36" s="1374"/>
    </row>
    <row r="37" spans="1:80" ht="12.95" customHeight="1"/>
    <row r="38" spans="1:80" ht="12.95" customHeight="1"/>
  </sheetData>
  <mergeCells count="85">
    <mergeCell ref="BX7:CD7"/>
    <mergeCell ref="A8:A16"/>
    <mergeCell ref="B8:S15"/>
    <mergeCell ref="T8:T20"/>
    <mergeCell ref="U8:X15"/>
    <mergeCell ref="Y8:AJ15"/>
    <mergeCell ref="AK8:AK21"/>
    <mergeCell ref="AL8:AL21"/>
    <mergeCell ref="B7:S7"/>
    <mergeCell ref="U7:X7"/>
    <mergeCell ref="Y7:AJ7"/>
    <mergeCell ref="AP7:AS7"/>
    <mergeCell ref="AW7:BD7"/>
    <mergeCell ref="BE7:BN7"/>
    <mergeCell ref="AW8:BD15"/>
    <mergeCell ref="AR17:AR23"/>
    <mergeCell ref="BR7:BT7"/>
    <mergeCell ref="BV7:BW7"/>
    <mergeCell ref="AM8:AO15"/>
    <mergeCell ref="AP8:AS15"/>
    <mergeCell ref="AT8:AT21"/>
    <mergeCell ref="AU8:AU21"/>
    <mergeCell ref="AV8:AV21"/>
    <mergeCell ref="BV8:BW15"/>
    <mergeCell ref="BM17:BM23"/>
    <mergeCell ref="BU8:BU15"/>
    <mergeCell ref="BX8:CD15"/>
    <mergeCell ref="AW16:AZ17"/>
    <mergeCell ref="BA16:BD17"/>
    <mergeCell ref="B17:C23"/>
    <mergeCell ref="D17:E23"/>
    <mergeCell ref="F17:G23"/>
    <mergeCell ref="H17:I23"/>
    <mergeCell ref="J17:K23"/>
    <mergeCell ref="L17:M23"/>
    <mergeCell ref="BE8:BN15"/>
    <mergeCell ref="BO8:BO16"/>
    <mergeCell ref="BP8:BP22"/>
    <mergeCell ref="BQ8:BQ22"/>
    <mergeCell ref="BR8:BT15"/>
    <mergeCell ref="AG17:AH23"/>
    <mergeCell ref="AS17:AS23"/>
    <mergeCell ref="N17:O23"/>
    <mergeCell ref="P17:Q23"/>
    <mergeCell ref="R17:S23"/>
    <mergeCell ref="U17:U23"/>
    <mergeCell ref="V17:V23"/>
    <mergeCell ref="W17:W23"/>
    <mergeCell ref="X17:X23"/>
    <mergeCell ref="Y17:Z23"/>
    <mergeCell ref="AA17:AB23"/>
    <mergeCell ref="AC17:AD23"/>
    <mergeCell ref="AE17:AF23"/>
    <mergeCell ref="BN17:BN23"/>
    <mergeCell ref="AI17:AJ23"/>
    <mergeCell ref="AM17:AM23"/>
    <mergeCell ref="AN17:AN23"/>
    <mergeCell ref="AO17:AO23"/>
    <mergeCell ref="AP17:AP23"/>
    <mergeCell ref="AQ17:AQ23"/>
    <mergeCell ref="BE17:BE23"/>
    <mergeCell ref="BF17:BF23"/>
    <mergeCell ref="BG17:BG23"/>
    <mergeCell ref="BH17:BH23"/>
    <mergeCell ref="BI17:BI23"/>
    <mergeCell ref="BJ17:BJ23"/>
    <mergeCell ref="BK17:BK23"/>
    <mergeCell ref="BL17:BL23"/>
    <mergeCell ref="CD17:CD23"/>
    <mergeCell ref="BR17:BR23"/>
    <mergeCell ref="BS17:BS23"/>
    <mergeCell ref="BT17:BT23"/>
    <mergeCell ref="BV17:BV23"/>
    <mergeCell ref="BW17:BW23"/>
    <mergeCell ref="BX17:BX23"/>
    <mergeCell ref="BY17:BY23"/>
    <mergeCell ref="BZ17:BZ23"/>
    <mergeCell ref="CA17:CA23"/>
    <mergeCell ref="CB17:CB23"/>
    <mergeCell ref="CC17:CC23"/>
    <mergeCell ref="B24:S24"/>
    <mergeCell ref="AM24:AO24"/>
    <mergeCell ref="AP24:AS24"/>
    <mergeCell ref="BE24:BN24"/>
    <mergeCell ref="BX24:CD24"/>
  </mergeCells>
  <pageMargins left="0.314" right="0.314" top="0.11799999999999999" bottom="0.27500000000000002" header="0.157" footer="0.11799999999999999"/>
  <pageSetup scale="60" firstPageNumber="61" orientation="landscape" r:id="rId1"/>
  <headerFooter>
    <oddFooter>&amp;C&amp;P</oddFooter>
  </headerFooter>
  <colBreaks count="1" manualBreakCount="1">
    <brk id="48" max="38" man="1"/>
  </colBreaks>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700-000000000000}">
  <dimension ref="A1:J29"/>
  <sheetViews>
    <sheetView view="pageBreakPreview" zoomScale="120" zoomScaleNormal="100" zoomScaleSheetLayoutView="120" workbookViewId="0">
      <selection activeCell="D30" sqref="D30"/>
    </sheetView>
  </sheetViews>
  <sheetFormatPr defaultColWidth="10.85546875" defaultRowHeight="13.5"/>
  <cols>
    <col min="1" max="1" width="17.140625" style="1375" customWidth="1"/>
    <col min="2" max="2" width="11" style="1375" customWidth="1"/>
    <col min="3" max="3" width="8.42578125" style="1375" customWidth="1"/>
    <col min="4" max="4" width="11.85546875" style="1375" customWidth="1"/>
    <col min="5" max="5" width="21" style="1375" bestFit="1" customWidth="1"/>
    <col min="6" max="6" width="14.85546875" style="1375" customWidth="1"/>
    <col min="7" max="7" width="6.42578125" style="1375" customWidth="1"/>
    <col min="8" max="8" width="6.7109375" style="1375" customWidth="1"/>
    <col min="9" max="9" width="6.5703125" style="1375" customWidth="1"/>
    <col min="10" max="10" width="7.28515625" style="1375" customWidth="1"/>
    <col min="11" max="15" width="15.28515625" style="1375" customWidth="1"/>
    <col min="16" max="19" width="4.42578125" style="1375" bestFit="1" customWidth="1"/>
    <col min="20" max="16384" width="10.85546875" style="1375"/>
  </cols>
  <sheetData>
    <row r="1" spans="1:10">
      <c r="A1" s="1304" t="s">
        <v>2908</v>
      </c>
    </row>
    <row r="2" spans="1:10">
      <c r="A2" s="1304"/>
    </row>
    <row r="3" spans="1:10">
      <c r="A3" s="1304"/>
    </row>
    <row r="4" spans="1:10">
      <c r="A4" s="1307" t="s">
        <v>2909</v>
      </c>
      <c r="B4" s="1308" t="s">
        <v>2910</v>
      </c>
      <c r="C4" s="1306"/>
    </row>
    <row r="6" spans="1:10">
      <c r="A6" s="1310" t="str">
        <f>CONCATENATE("(",20,"C.",TEXT(A29,"00"),")")</f>
        <v>(20C.01)</v>
      </c>
      <c r="B6" s="1376" t="str">
        <f>CONCATENATE("(",20,"C.",TEXT(B29,"00"),")")</f>
        <v>(20C.02)</v>
      </c>
      <c r="C6" s="1376" t="str">
        <f>CONCATENATE("(",20,"C.",TEXT(C29,"00"),")")</f>
        <v>(20C.03)</v>
      </c>
      <c r="D6" s="1376" t="str">
        <f t="shared" ref="D6:E6" si="0">CONCATENATE("(",20,"C.",TEXT(D29,"00"),")")</f>
        <v>(20C.04)</v>
      </c>
      <c r="E6" s="1376" t="str">
        <f t="shared" si="0"/>
        <v>(20C.05)</v>
      </c>
      <c r="F6" s="1376" t="str">
        <f>CONCATENATE("(",20,"C.",TEXT(F29,"00"),")")</f>
        <v>(20C.06)</v>
      </c>
      <c r="G6" s="3104" t="str">
        <f>CONCATENATE("(",20,"C.",TEXT(G29,"00"),")")</f>
        <v>(20C.07)</v>
      </c>
      <c r="H6" s="3105"/>
      <c r="I6" s="3105"/>
      <c r="J6" s="3106"/>
    </row>
    <row r="7" spans="1:10">
      <c r="A7" s="3052" t="s">
        <v>2911</v>
      </c>
      <c r="B7" s="3052" t="s">
        <v>2912</v>
      </c>
      <c r="C7" s="3052" t="s">
        <v>2913</v>
      </c>
      <c r="D7" s="3052" t="s">
        <v>2914</v>
      </c>
      <c r="E7" s="3110" t="s">
        <v>2915</v>
      </c>
      <c r="F7" s="2913" t="s">
        <v>2916</v>
      </c>
      <c r="G7" s="2916" t="s">
        <v>2917</v>
      </c>
      <c r="H7" s="2916"/>
      <c r="I7" s="2916"/>
      <c r="J7" s="2916"/>
    </row>
    <row r="8" spans="1:10">
      <c r="A8" s="3053"/>
      <c r="B8" s="3053"/>
      <c r="C8" s="3053"/>
      <c r="D8" s="3053"/>
      <c r="E8" s="3111"/>
      <c r="F8" s="2814"/>
      <c r="G8" s="2919"/>
      <c r="H8" s="2919"/>
      <c r="I8" s="2919"/>
      <c r="J8" s="2919"/>
    </row>
    <row r="9" spans="1:10">
      <c r="A9" s="3053"/>
      <c r="B9" s="3053"/>
      <c r="C9" s="3053"/>
      <c r="D9" s="3053"/>
      <c r="E9" s="3111"/>
      <c r="F9" s="2814"/>
      <c r="G9" s="2919"/>
      <c r="H9" s="2919"/>
      <c r="I9" s="2919"/>
      <c r="J9" s="2919"/>
    </row>
    <row r="10" spans="1:10">
      <c r="A10" s="3053"/>
      <c r="B10" s="3053"/>
      <c r="C10" s="3053"/>
      <c r="D10" s="3053"/>
      <c r="E10" s="3111"/>
      <c r="F10" s="2814"/>
      <c r="G10" s="2919"/>
      <c r="H10" s="2919"/>
      <c r="I10" s="2919"/>
      <c r="J10" s="2919"/>
    </row>
    <row r="11" spans="1:10">
      <c r="A11" s="3053"/>
      <c r="B11" s="3053"/>
      <c r="C11" s="3053"/>
      <c r="D11" s="3053"/>
      <c r="E11" s="3111"/>
      <c r="F11" s="2814"/>
      <c r="G11" s="2919"/>
      <c r="H11" s="2919"/>
      <c r="I11" s="2919"/>
      <c r="J11" s="2919"/>
    </row>
    <row r="12" spans="1:10">
      <c r="A12" s="3053"/>
      <c r="B12" s="3053"/>
      <c r="C12" s="3053"/>
      <c r="D12" s="3053"/>
      <c r="E12" s="3111"/>
      <c r="F12" s="2814"/>
      <c r="G12" s="2919"/>
      <c r="H12" s="2919"/>
      <c r="I12" s="2919"/>
      <c r="J12" s="2919"/>
    </row>
    <row r="13" spans="1:10">
      <c r="A13" s="3053"/>
      <c r="B13" s="3053"/>
      <c r="C13" s="3053"/>
      <c r="D13" s="3053"/>
      <c r="E13" s="3111"/>
      <c r="F13" s="2814"/>
      <c r="G13" s="2919"/>
      <c r="H13" s="2919"/>
      <c r="I13" s="2919"/>
      <c r="J13" s="2919"/>
    </row>
    <row r="14" spans="1:10">
      <c r="A14" s="3053"/>
      <c r="B14" s="3053"/>
      <c r="C14" s="3053"/>
      <c r="D14" s="3053"/>
      <c r="E14" s="3111"/>
      <c r="F14" s="2814"/>
      <c r="G14" s="2919"/>
      <c r="H14" s="2919"/>
      <c r="I14" s="2919"/>
      <c r="J14" s="2919"/>
    </row>
    <row r="15" spans="1:10">
      <c r="A15" s="3053"/>
      <c r="B15" s="3053"/>
      <c r="C15" s="3053"/>
      <c r="D15" s="3053"/>
      <c r="E15" s="3111"/>
      <c r="F15" s="2814"/>
      <c r="G15" s="2919"/>
      <c r="H15" s="2919"/>
      <c r="I15" s="2919"/>
      <c r="J15" s="2919"/>
    </row>
    <row r="16" spans="1:10">
      <c r="A16" s="1315"/>
      <c r="B16" s="1315"/>
      <c r="C16" s="1315"/>
      <c r="D16" s="1313"/>
      <c r="E16" s="1377"/>
      <c r="F16" s="1236"/>
      <c r="G16" s="2919"/>
      <c r="H16" s="2919"/>
      <c r="I16" s="2919"/>
      <c r="J16" s="2919"/>
    </row>
    <row r="17" spans="1:10">
      <c r="A17" s="1315"/>
      <c r="B17" s="1315"/>
      <c r="C17" s="1315"/>
      <c r="D17" s="1313"/>
      <c r="E17" s="1377"/>
      <c r="F17" s="1236"/>
      <c r="G17" s="2922"/>
      <c r="H17" s="2922"/>
      <c r="I17" s="2922"/>
      <c r="J17" s="2922"/>
    </row>
    <row r="18" spans="1:10">
      <c r="A18" s="1313" t="s">
        <v>2918</v>
      </c>
      <c r="B18" s="1378" t="s">
        <v>109</v>
      </c>
      <c r="C18" s="1378"/>
      <c r="D18" s="1313" t="s">
        <v>2919</v>
      </c>
      <c r="E18" s="1379" t="s">
        <v>109</v>
      </c>
      <c r="F18" s="1236" t="s">
        <v>2920</v>
      </c>
      <c r="G18" s="1380" t="s">
        <v>263</v>
      </c>
      <c r="H18" s="1381" t="s">
        <v>126</v>
      </c>
      <c r="I18" s="1381" t="s">
        <v>148</v>
      </c>
      <c r="J18" s="1381" t="s">
        <v>264</v>
      </c>
    </row>
    <row r="19" spans="1:10" ht="27">
      <c r="A19" s="1313" t="s">
        <v>2921</v>
      </c>
      <c r="B19" s="1378" t="s">
        <v>110</v>
      </c>
      <c r="C19" s="1378"/>
      <c r="D19" s="1313" t="s">
        <v>2922</v>
      </c>
      <c r="E19" s="1379" t="s">
        <v>110</v>
      </c>
      <c r="F19" s="1236" t="s">
        <v>2923</v>
      </c>
      <c r="G19" s="3122" t="s">
        <v>2924</v>
      </c>
      <c r="H19" s="3124" t="s">
        <v>2925</v>
      </c>
      <c r="I19" s="3124" t="s">
        <v>2926</v>
      </c>
      <c r="J19" s="3126" t="s">
        <v>2927</v>
      </c>
    </row>
    <row r="20" spans="1:10" ht="27">
      <c r="A20" s="1313" t="s">
        <v>2928</v>
      </c>
      <c r="B20" s="1378"/>
      <c r="C20" s="1378"/>
      <c r="D20" s="1313" t="s">
        <v>2929</v>
      </c>
      <c r="E20" s="1379"/>
      <c r="F20" s="1236" t="s">
        <v>2930</v>
      </c>
      <c r="G20" s="3122"/>
      <c r="H20" s="3124"/>
      <c r="I20" s="3124"/>
      <c r="J20" s="3126"/>
    </row>
    <row r="21" spans="1:10">
      <c r="A21" s="1345" t="s">
        <v>2931</v>
      </c>
      <c r="B21" s="1378"/>
      <c r="C21" s="1378"/>
      <c r="D21" s="1313" t="s">
        <v>2932</v>
      </c>
      <c r="E21" s="1379"/>
      <c r="F21" s="1236" t="s">
        <v>2933</v>
      </c>
      <c r="G21" s="3122"/>
      <c r="H21" s="3124"/>
      <c r="I21" s="3124"/>
      <c r="J21" s="3126"/>
    </row>
    <row r="22" spans="1:10">
      <c r="A22" s="1313" t="s">
        <v>2822</v>
      </c>
      <c r="B22" s="1378"/>
      <c r="C22" s="1378"/>
      <c r="D22" s="1313" t="s">
        <v>2934</v>
      </c>
      <c r="E22" s="1379"/>
      <c r="F22" s="1236"/>
      <c r="G22" s="3122"/>
      <c r="H22" s="3124"/>
      <c r="I22" s="3124"/>
      <c r="J22" s="3126"/>
    </row>
    <row r="23" spans="1:10" ht="27">
      <c r="A23" s="1315"/>
      <c r="B23" s="1315"/>
      <c r="C23" s="1315"/>
      <c r="D23" s="1313" t="s">
        <v>2935</v>
      </c>
      <c r="E23" s="1377"/>
      <c r="F23" s="1236"/>
      <c r="G23" s="3122"/>
      <c r="H23" s="3124"/>
      <c r="I23" s="3124"/>
      <c r="J23" s="3126"/>
    </row>
    <row r="24" spans="1:10">
      <c r="A24" s="1320"/>
      <c r="B24" s="1320"/>
      <c r="C24" s="1320"/>
      <c r="D24" s="1382"/>
      <c r="E24" s="1383"/>
      <c r="F24" s="1384"/>
      <c r="G24" s="3123"/>
      <c r="H24" s="3125"/>
      <c r="I24" s="3125"/>
      <c r="J24" s="3127"/>
    </row>
    <row r="25" spans="1:10" ht="17.25" customHeight="1" thickBot="1">
      <c r="A25" s="1385" t="s">
        <v>420</v>
      </c>
      <c r="B25" s="1323" t="s">
        <v>420</v>
      </c>
      <c r="C25" s="1323" t="s">
        <v>426</v>
      </c>
      <c r="D25" s="1385" t="s">
        <v>420</v>
      </c>
      <c r="E25" s="1385" t="s">
        <v>420</v>
      </c>
      <c r="F25" s="1324" t="s">
        <v>2157</v>
      </c>
      <c r="G25" s="1386" t="s">
        <v>420</v>
      </c>
      <c r="H25" s="1386" t="s">
        <v>420</v>
      </c>
      <c r="I25" s="1386" t="s">
        <v>420</v>
      </c>
      <c r="J25" s="1386" t="s">
        <v>420</v>
      </c>
    </row>
    <row r="26" spans="1:10" ht="14.25" thickTop="1">
      <c r="A26" s="3128"/>
      <c r="B26" s="3130"/>
      <c r="C26" s="3046"/>
      <c r="D26" s="3046"/>
      <c r="E26" s="3046"/>
      <c r="F26" s="3046"/>
      <c r="G26" s="3046"/>
      <c r="H26" s="3046"/>
      <c r="I26" s="3046"/>
      <c r="J26" s="3121"/>
    </row>
    <row r="27" spans="1:10">
      <c r="A27" s="3129"/>
      <c r="B27" s="3131"/>
      <c r="C27" s="3047"/>
      <c r="D27" s="3047"/>
      <c r="E27" s="3047"/>
      <c r="F27" s="3047"/>
      <c r="G27" s="3047"/>
      <c r="H27" s="3047"/>
      <c r="I27" s="3047"/>
      <c r="J27" s="3049"/>
    </row>
    <row r="29" spans="1:10">
      <c r="A29" s="1375">
        <v>1</v>
      </c>
      <c r="B29" s="1375">
        <v>2</v>
      </c>
      <c r="C29" s="1375">
        <v>3</v>
      </c>
      <c r="D29" s="1375">
        <v>4</v>
      </c>
      <c r="E29" s="1375">
        <v>5</v>
      </c>
      <c r="F29" s="1375">
        <v>6</v>
      </c>
      <c r="G29" s="1375">
        <v>7</v>
      </c>
    </row>
  </sheetData>
  <mergeCells count="22">
    <mergeCell ref="F26:F27"/>
    <mergeCell ref="G6:J6"/>
    <mergeCell ref="A7:A15"/>
    <mergeCell ref="B7:B15"/>
    <mergeCell ref="C7:C15"/>
    <mergeCell ref="D7:D15"/>
    <mergeCell ref="E7:E15"/>
    <mergeCell ref="F7:F15"/>
    <mergeCell ref="G7:J17"/>
    <mergeCell ref="A26:A27"/>
    <mergeCell ref="B26:B27"/>
    <mergeCell ref="C26:C27"/>
    <mergeCell ref="D26:D27"/>
    <mergeCell ref="E26:E27"/>
    <mergeCell ref="G26:G27"/>
    <mergeCell ref="H26:H27"/>
    <mergeCell ref="I26:I27"/>
    <mergeCell ref="J26:J27"/>
    <mergeCell ref="G19:G24"/>
    <mergeCell ref="H19:H24"/>
    <mergeCell ref="I19:I24"/>
    <mergeCell ref="J19:J24"/>
  </mergeCells>
  <pageMargins left="0.7" right="0.7" top="0.75" bottom="0.75" header="0.3" footer="0.3"/>
  <pageSetup paperSize="9" scale="56" orientation="portrait" r:id="rId1"/>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800-000000000000}">
  <dimension ref="A1:K27"/>
  <sheetViews>
    <sheetView view="pageBreakPreview" zoomScale="90" zoomScaleNormal="100" zoomScaleSheetLayoutView="160" workbookViewId="0">
      <selection activeCell="E15" sqref="E15"/>
    </sheetView>
  </sheetViews>
  <sheetFormatPr defaultColWidth="9.140625" defaultRowHeight="15"/>
  <cols>
    <col min="1" max="1" width="7.42578125" style="51" customWidth="1"/>
    <col min="2" max="2" width="15.42578125" style="51" customWidth="1"/>
    <col min="3" max="3" width="4.85546875" style="51" customWidth="1"/>
    <col min="4" max="4" width="8.42578125" style="51" customWidth="1"/>
    <col min="5" max="5" width="21.5703125" style="51" customWidth="1"/>
    <col min="6" max="6" width="3" style="51" customWidth="1"/>
    <col min="7" max="7" width="8.7109375" style="51" customWidth="1"/>
    <col min="8" max="8" width="25" style="51" customWidth="1"/>
  </cols>
  <sheetData>
    <row r="1" spans="1:11">
      <c r="A1" s="669"/>
      <c r="B1" s="674" t="s">
        <v>2936</v>
      </c>
      <c r="C1" s="674"/>
      <c r="D1" s="674"/>
      <c r="E1" s="674"/>
      <c r="F1" s="674"/>
      <c r="G1" s="674"/>
      <c r="H1" s="669"/>
      <c r="I1" s="271"/>
      <c r="J1" s="271"/>
      <c r="K1" s="271"/>
    </row>
    <row r="2" spans="1:11" ht="15.75">
      <c r="A2" s="670" t="s">
        <v>2937</v>
      </c>
      <c r="B2" s="669"/>
      <c r="C2" s="669"/>
      <c r="D2" s="669"/>
      <c r="E2" s="669"/>
      <c r="F2" s="669"/>
      <c r="G2" s="669"/>
      <c r="H2" s="669"/>
      <c r="I2" s="271"/>
      <c r="J2" s="271"/>
      <c r="K2" s="271"/>
    </row>
    <row r="3" spans="1:11" ht="15.75">
      <c r="A3" s="671" t="s">
        <v>2200</v>
      </c>
      <c r="B3" s="671" t="s">
        <v>2474</v>
      </c>
      <c r="C3" s="671"/>
      <c r="D3" s="671" t="s">
        <v>2200</v>
      </c>
      <c r="E3" s="671" t="s">
        <v>2474</v>
      </c>
      <c r="F3" s="671"/>
      <c r="G3" s="671" t="s">
        <v>2200</v>
      </c>
      <c r="H3" s="671" t="s">
        <v>2474</v>
      </c>
      <c r="I3" s="271"/>
      <c r="J3" s="271"/>
      <c r="K3" s="271"/>
    </row>
    <row r="4" spans="1:11">
      <c r="A4" s="672">
        <v>1</v>
      </c>
      <c r="B4" s="672" t="s">
        <v>2938</v>
      </c>
      <c r="C4" s="672"/>
      <c r="D4" s="672">
        <v>21</v>
      </c>
      <c r="E4" s="672" t="s">
        <v>2939</v>
      </c>
      <c r="F4" s="672"/>
      <c r="G4" s="672">
        <v>41</v>
      </c>
      <c r="H4" s="672" t="s">
        <v>2940</v>
      </c>
      <c r="I4" s="271"/>
      <c r="J4" s="271"/>
      <c r="K4" s="271"/>
    </row>
    <row r="5" spans="1:11">
      <c r="A5" s="672">
        <v>2</v>
      </c>
      <c r="B5" s="672" t="s">
        <v>2941</v>
      </c>
      <c r="C5" s="672"/>
      <c r="D5" s="672">
        <v>22</v>
      </c>
      <c r="E5" s="672" t="s">
        <v>2942</v>
      </c>
      <c r="F5" s="672"/>
      <c r="G5" s="672"/>
      <c r="H5" s="672" t="s">
        <v>2943</v>
      </c>
      <c r="I5" s="271"/>
      <c r="J5" s="672" t="s">
        <v>2944</v>
      </c>
      <c r="K5" s="271"/>
    </row>
    <row r="6" spans="1:11">
      <c r="A6" s="672">
        <v>3</v>
      </c>
      <c r="B6" s="672" t="s">
        <v>2945</v>
      </c>
      <c r="C6" s="672"/>
      <c r="D6" s="672">
        <v>23</v>
      </c>
      <c r="E6" s="672" t="s">
        <v>2946</v>
      </c>
      <c r="F6" s="672"/>
      <c r="G6" s="672"/>
      <c r="H6" s="672" t="s">
        <v>2947</v>
      </c>
      <c r="I6" s="271"/>
      <c r="J6" s="672" t="s">
        <v>2948</v>
      </c>
      <c r="K6" s="271"/>
    </row>
    <row r="7" spans="1:11">
      <c r="A7" s="672">
        <v>4</v>
      </c>
      <c r="B7" s="672" t="s">
        <v>2949</v>
      </c>
      <c r="C7" s="672"/>
      <c r="D7" s="672">
        <v>24</v>
      </c>
      <c r="E7" s="672" t="s">
        <v>2950</v>
      </c>
      <c r="F7" s="672"/>
      <c r="G7" s="672"/>
      <c r="H7" s="672" t="s">
        <v>2951</v>
      </c>
      <c r="I7" s="271"/>
      <c r="J7" s="672" t="s">
        <v>2952</v>
      </c>
      <c r="K7" s="271"/>
    </row>
    <row r="8" spans="1:11">
      <c r="A8" s="672">
        <v>5</v>
      </c>
      <c r="B8" s="672" t="s">
        <v>2429</v>
      </c>
      <c r="C8" s="672"/>
      <c r="D8" s="672">
        <v>25</v>
      </c>
      <c r="E8" s="672" t="s">
        <v>2953</v>
      </c>
      <c r="F8" s="672"/>
      <c r="G8" s="672"/>
      <c r="H8" s="672" t="s">
        <v>2954</v>
      </c>
      <c r="I8" s="271"/>
      <c r="J8" s="672" t="s">
        <v>2955</v>
      </c>
      <c r="K8" s="271"/>
    </row>
    <row r="9" spans="1:11">
      <c r="A9" s="672">
        <v>6</v>
      </c>
      <c r="B9" s="672" t="s">
        <v>2956</v>
      </c>
      <c r="C9" s="672"/>
      <c r="D9" s="672">
        <v>26</v>
      </c>
      <c r="E9" s="672" t="s">
        <v>2957</v>
      </c>
      <c r="F9" s="672"/>
      <c r="G9" s="672"/>
      <c r="H9" s="672" t="s">
        <v>2958</v>
      </c>
      <c r="I9" s="271"/>
      <c r="J9" s="672" t="s">
        <v>2959</v>
      </c>
      <c r="K9" s="271"/>
    </row>
    <row r="10" spans="1:11">
      <c r="A10" s="672">
        <v>7</v>
      </c>
      <c r="B10" s="672" t="s">
        <v>2960</v>
      </c>
      <c r="C10" s="672"/>
      <c r="D10" s="672">
        <v>27</v>
      </c>
      <c r="E10" s="672" t="s">
        <v>2961</v>
      </c>
      <c r="F10" s="672"/>
      <c r="G10" s="672"/>
      <c r="H10" s="672" t="s">
        <v>2962</v>
      </c>
      <c r="I10" s="271"/>
      <c r="J10" s="672" t="s">
        <v>2963</v>
      </c>
      <c r="K10" s="271"/>
    </row>
    <row r="11" spans="1:11">
      <c r="A11" s="672">
        <v>8</v>
      </c>
      <c r="B11" s="672" t="s">
        <v>2964</v>
      </c>
      <c r="C11" s="672"/>
      <c r="D11" s="672">
        <v>28</v>
      </c>
      <c r="E11" s="672" t="s">
        <v>2965</v>
      </c>
      <c r="F11" s="672"/>
      <c r="G11" s="672"/>
      <c r="H11" s="672" t="s">
        <v>2966</v>
      </c>
      <c r="I11" s="271"/>
      <c r="J11" s="672" t="s">
        <v>2967</v>
      </c>
      <c r="K11" s="271"/>
    </row>
    <row r="12" spans="1:11">
      <c r="A12" s="672">
        <v>9</v>
      </c>
      <c r="B12" s="672" t="s">
        <v>2968</v>
      </c>
      <c r="C12" s="672"/>
      <c r="D12" s="672">
        <v>29</v>
      </c>
      <c r="E12" s="672" t="s">
        <v>2969</v>
      </c>
      <c r="F12" s="672"/>
      <c r="G12" s="672"/>
      <c r="H12" s="672" t="s">
        <v>2970</v>
      </c>
      <c r="I12" s="271"/>
      <c r="J12" s="672" t="s">
        <v>2971</v>
      </c>
      <c r="K12" s="271"/>
    </row>
    <row r="13" spans="1:11">
      <c r="A13" s="672">
        <v>10</v>
      </c>
      <c r="B13" s="672" t="s">
        <v>2972</v>
      </c>
      <c r="C13" s="672"/>
      <c r="D13" s="672">
        <v>30</v>
      </c>
      <c r="E13" s="672" t="s">
        <v>2973</v>
      </c>
      <c r="F13" s="672"/>
      <c r="G13" s="672"/>
      <c r="H13" s="672" t="s">
        <v>2974</v>
      </c>
      <c r="I13" s="271"/>
      <c r="J13" s="672" t="s">
        <v>2975</v>
      </c>
      <c r="K13" s="271"/>
    </row>
    <row r="14" spans="1:11">
      <c r="A14" s="672">
        <v>11</v>
      </c>
      <c r="B14" s="672" t="s">
        <v>2976</v>
      </c>
      <c r="C14" s="672"/>
      <c r="D14" s="672">
        <v>31</v>
      </c>
      <c r="E14" s="672" t="s">
        <v>2977</v>
      </c>
      <c r="F14" s="672"/>
      <c r="G14" s="672"/>
      <c r="H14" s="672" t="s">
        <v>2978</v>
      </c>
      <c r="I14" s="271"/>
      <c r="J14" s="672" t="s">
        <v>2979</v>
      </c>
      <c r="K14" s="271"/>
    </row>
    <row r="15" spans="1:11">
      <c r="A15" s="672">
        <v>12</v>
      </c>
      <c r="B15" s="672" t="s">
        <v>2980</v>
      </c>
      <c r="C15" s="672"/>
      <c r="D15" s="672">
        <v>32</v>
      </c>
      <c r="E15" s="672" t="s">
        <v>2981</v>
      </c>
      <c r="F15" s="672"/>
      <c r="G15" s="672"/>
      <c r="H15" s="672" t="s">
        <v>2982</v>
      </c>
      <c r="I15" s="271"/>
      <c r="J15" s="672" t="s">
        <v>2983</v>
      </c>
      <c r="K15" s="271"/>
    </row>
    <row r="16" spans="1:11">
      <c r="A16" s="672">
        <v>13</v>
      </c>
      <c r="B16" s="672" t="s">
        <v>2984</v>
      </c>
      <c r="C16" s="672"/>
      <c r="D16" s="672">
        <v>33</v>
      </c>
      <c r="E16" s="672" t="s">
        <v>2985</v>
      </c>
      <c r="F16" s="672"/>
      <c r="G16" s="672"/>
      <c r="H16" s="672" t="s">
        <v>2986</v>
      </c>
      <c r="I16" s="271"/>
      <c r="J16" s="672" t="s">
        <v>2987</v>
      </c>
      <c r="K16" s="271"/>
    </row>
    <row r="17" spans="1:11">
      <c r="A17" s="672">
        <v>14</v>
      </c>
      <c r="B17" s="672" t="s">
        <v>2988</v>
      </c>
      <c r="C17" s="672"/>
      <c r="D17" s="672">
        <v>34</v>
      </c>
      <c r="E17" s="672" t="s">
        <v>2989</v>
      </c>
      <c r="F17" s="672"/>
      <c r="G17" s="672"/>
      <c r="H17" s="672" t="s">
        <v>2990</v>
      </c>
      <c r="I17" s="271"/>
      <c r="J17" s="672" t="s">
        <v>2991</v>
      </c>
      <c r="K17" s="271"/>
    </row>
    <row r="18" spans="1:11">
      <c r="A18" s="672">
        <v>15</v>
      </c>
      <c r="B18" s="672" t="s">
        <v>2992</v>
      </c>
      <c r="C18" s="672"/>
      <c r="D18" s="672">
        <v>35</v>
      </c>
      <c r="E18" s="672" t="s">
        <v>2993</v>
      </c>
      <c r="F18" s="672"/>
      <c r="G18" s="672"/>
      <c r="H18" s="672" t="s">
        <v>2994</v>
      </c>
      <c r="I18" s="271"/>
      <c r="J18" s="672" t="s">
        <v>2995</v>
      </c>
      <c r="K18" s="271"/>
    </row>
    <row r="19" spans="1:11">
      <c r="A19" s="672">
        <v>16</v>
      </c>
      <c r="B19" s="672" t="s">
        <v>2996</v>
      </c>
      <c r="C19" s="672"/>
      <c r="D19" s="672">
        <v>36</v>
      </c>
      <c r="E19" s="672" t="s">
        <v>2997</v>
      </c>
      <c r="F19" s="672"/>
      <c r="G19" s="672"/>
      <c r="H19" s="672" t="s">
        <v>2998</v>
      </c>
      <c r="I19" s="271"/>
      <c r="J19" s="271"/>
      <c r="K19" s="271"/>
    </row>
    <row r="20" spans="1:11">
      <c r="A20" s="672">
        <v>17</v>
      </c>
      <c r="B20" s="672" t="s">
        <v>2999</v>
      </c>
      <c r="C20" s="672"/>
      <c r="D20" s="672"/>
      <c r="E20" s="672" t="s">
        <v>3000</v>
      </c>
      <c r="F20" s="672"/>
      <c r="G20" s="672"/>
      <c r="H20" s="673" t="s">
        <v>3001</v>
      </c>
      <c r="I20" s="271"/>
      <c r="J20" s="271"/>
      <c r="K20" s="271"/>
    </row>
    <row r="21" spans="1:11">
      <c r="A21" s="672">
        <v>18</v>
      </c>
      <c r="B21" s="672" t="s">
        <v>3002</v>
      </c>
      <c r="C21" s="672"/>
      <c r="D21" s="672"/>
      <c r="E21" s="672" t="s">
        <v>3003</v>
      </c>
      <c r="F21" s="672"/>
      <c r="G21" s="672"/>
      <c r="H21" s="673" t="s">
        <v>3004</v>
      </c>
      <c r="I21" s="271"/>
      <c r="J21" s="271"/>
      <c r="K21" s="271"/>
    </row>
    <row r="22" spans="1:11">
      <c r="A22" s="672">
        <v>19</v>
      </c>
      <c r="B22" s="672" t="s">
        <v>3005</v>
      </c>
      <c r="C22" s="672"/>
      <c r="D22" s="672">
        <v>37</v>
      </c>
      <c r="E22" s="672" t="s">
        <v>3006</v>
      </c>
      <c r="F22" s="672"/>
      <c r="G22" s="672"/>
      <c r="H22" s="673" t="s">
        <v>3007</v>
      </c>
      <c r="I22" s="271"/>
      <c r="J22" s="271"/>
      <c r="K22" s="271"/>
    </row>
    <row r="23" spans="1:11">
      <c r="A23" s="672">
        <v>20</v>
      </c>
      <c r="B23" s="672" t="s">
        <v>3008</v>
      </c>
      <c r="C23" s="672"/>
      <c r="D23" s="672">
        <v>38</v>
      </c>
      <c r="E23" s="672" t="s">
        <v>3009</v>
      </c>
      <c r="F23" s="672"/>
      <c r="G23" s="672"/>
      <c r="H23" s="673" t="s">
        <v>3010</v>
      </c>
      <c r="I23" s="271"/>
      <c r="J23" s="271"/>
      <c r="K23" s="271"/>
    </row>
    <row r="24" spans="1:11">
      <c r="A24" s="271"/>
      <c r="B24" s="271"/>
      <c r="C24" s="672"/>
      <c r="D24" s="672">
        <v>39</v>
      </c>
      <c r="E24" s="672" t="s">
        <v>3011</v>
      </c>
      <c r="F24" s="672"/>
      <c r="G24" s="672"/>
      <c r="H24" s="673" t="s">
        <v>3012</v>
      </c>
      <c r="I24" s="271"/>
      <c r="J24" s="271"/>
      <c r="K24" s="271"/>
    </row>
    <row r="25" spans="1:11">
      <c r="A25" s="271"/>
      <c r="B25" s="271"/>
      <c r="C25" s="672"/>
      <c r="D25" s="672">
        <v>40</v>
      </c>
      <c r="E25" s="672" t="s">
        <v>3013</v>
      </c>
      <c r="F25" s="672"/>
      <c r="G25" s="672"/>
      <c r="H25" s="673" t="s">
        <v>3014</v>
      </c>
      <c r="I25" s="271"/>
      <c r="J25" s="271"/>
      <c r="K25" s="271"/>
    </row>
    <row r="26" spans="1:11">
      <c r="A26" s="271"/>
      <c r="B26" s="271"/>
      <c r="C26" s="271"/>
      <c r="D26" s="271"/>
      <c r="E26" s="271"/>
      <c r="F26" s="271"/>
      <c r="G26" s="271"/>
      <c r="H26" s="673" t="s">
        <v>3015</v>
      </c>
      <c r="I26" s="271"/>
      <c r="J26" s="271"/>
      <c r="K26" s="271"/>
    </row>
    <row r="27" spans="1:11">
      <c r="A27" s="271"/>
      <c r="B27" s="271"/>
      <c r="C27" s="271"/>
      <c r="D27" s="271"/>
      <c r="E27" s="271"/>
      <c r="F27" s="271"/>
      <c r="G27" s="271"/>
      <c r="H27" s="675"/>
      <c r="I27" s="271"/>
      <c r="J27" s="271"/>
      <c r="K27" s="271"/>
    </row>
  </sheetData>
  <customSheetViews>
    <customSheetView guid="{9C153D9E-615C-443B-9CD7-551163282F03}" scale="90" showPageBreaks="1" view="pageBreakPreview">
      <selection activeCell="E3" sqref="E3"/>
      <pageMargins left="0" right="0" top="0" bottom="0" header="0" footer="0"/>
      <pageSetup orientation="landscape" r:id="rId1"/>
      <headerFooter>
        <oddFooter>&amp;C&amp;P</oddFooter>
      </headerFooter>
    </customSheetView>
    <customSheetView guid="{BE9F68F7-D81B-4526-9959-D871EC50BDFF}" scale="90" showPageBreaks="1" view="pageBreakPreview">
      <selection activeCell="E3" sqref="E3"/>
      <pageMargins left="0" right="0" top="0" bottom="0" header="0" footer="0"/>
      <pageSetup orientation="landscape" r:id="rId2"/>
      <headerFooter>
        <oddFooter>&amp;C&amp;P</oddFooter>
      </headerFooter>
    </customSheetView>
    <customSheetView guid="{EF790C5B-80DA-4544-9EB7-EFE0323B2298}" showPageBreaks="1">
      <selection activeCell="E3" sqref="E3"/>
      <pageMargins left="0" right="0" top="0" bottom="0" header="0" footer="0"/>
      <pageSetup orientation="landscape" r:id="rId3"/>
      <headerFooter>
        <oddFooter>&amp;C&amp;P</oddFooter>
      </headerFooter>
    </customSheetView>
    <customSheetView guid="{C9D2DBB1-CD01-4732-8C86-64BE16C94753}" scale="90" showPageBreaks="1" view="pageBreakPreview">
      <pageMargins left="0" right="0" top="0" bottom="0" header="0" footer="0"/>
      <pageSetup orientation="landscape" r:id="rId4"/>
      <headerFooter>
        <oddFooter>&amp;C&amp;P</oddFooter>
      </headerFooter>
    </customSheetView>
    <customSheetView guid="{BFEC163F-7C4E-49B7-9F32-15225772E72F}" scale="90" showPageBreaks="1" view="pageBreakPreview">
      <pageMargins left="0" right="0" top="0" bottom="0" header="0" footer="0"/>
      <pageSetup orientation="landscape" r:id="rId5"/>
      <headerFooter>
        <oddFooter>&amp;C&amp;P</oddFooter>
      </headerFooter>
    </customSheetView>
    <customSheetView guid="{5529DB6B-163A-4048-9107-267B30B97DF3}" scale="90" showPageBreaks="1" view="pageBreakPreview">
      <pageMargins left="0" right="0" top="0" bottom="0" header="0" footer="0"/>
      <pageSetup orientation="landscape" r:id="rId6"/>
      <headerFooter>
        <oddFooter>&amp;C&amp;P</oddFooter>
      </headerFooter>
    </customSheetView>
    <customSheetView guid="{9B0763AA-FA4B-479A-900C-C113E8BEEFEB}" scale="90" showPageBreaks="1" view="pageBreakPreview">
      <pageMargins left="0" right="0" top="0" bottom="0" header="0" footer="0"/>
      <pageSetup orientation="landscape" r:id="rId7"/>
      <headerFooter>
        <oddFooter>&amp;C&amp;P</oddFooter>
      </headerFooter>
    </customSheetView>
    <customSheetView guid="{89903799-8228-4A6D-8A81-7F80BC61226D}" scale="160" showPageBreaks="1" view="pageBreakPreview">
      <pageMargins left="0" right="0" top="0" bottom="0" header="0" footer="0"/>
      <pageSetup orientation="landscape" r:id="rId8"/>
      <headerFooter>
        <oddFooter>&amp;C&amp;P</oddFooter>
      </headerFooter>
    </customSheetView>
    <customSheetView guid="{2524630E-605A-4616-AD5D-6CF7B1E9752C}" scale="160" showPageBreaks="1" view="pageBreakPreview">
      <pageMargins left="0" right="0" top="0" bottom="0" header="0" footer="0"/>
      <pageSetup orientation="landscape" r:id="rId9"/>
      <headerFooter>
        <oddFooter>&amp;C&amp;P</oddFooter>
      </headerFooter>
    </customSheetView>
  </customSheetViews>
  <pageMargins left="0.314" right="0.314" top="0.11799999999999999" bottom="0.27500000000000002" header="0.157" footer="0.11799999999999999"/>
  <pageSetup orientation="landscape" r:id="rId10"/>
  <headerFooter>
    <oddFooter>&amp;C&amp;P</oddFooter>
  </headerFooter>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900-000000000000}">
  <dimension ref="A1:J25"/>
  <sheetViews>
    <sheetView topLeftCell="A7" workbookViewId="0">
      <selection activeCell="M19" sqref="M19"/>
    </sheetView>
  </sheetViews>
  <sheetFormatPr defaultColWidth="8.85546875" defaultRowHeight="12.75"/>
  <cols>
    <col min="1" max="1" width="8.85546875" customWidth="1"/>
    <col min="2" max="2" width="14.42578125" customWidth="1"/>
    <col min="3" max="3" width="8.85546875" customWidth="1"/>
    <col min="4" max="4" width="15" bestFit="1" customWidth="1"/>
    <col min="5" max="5" width="8.85546875" customWidth="1"/>
    <col min="6" max="6" width="10.85546875" bestFit="1" customWidth="1"/>
    <col min="7" max="7" width="8.85546875" customWidth="1"/>
    <col min="8" max="8" width="19.140625" bestFit="1" customWidth="1"/>
    <col min="10" max="10" width="15.7109375" customWidth="1"/>
  </cols>
  <sheetData>
    <row r="1" spans="1:10" ht="15.75">
      <c r="A1" s="50" t="s">
        <v>3016</v>
      </c>
    </row>
    <row r="2" spans="1:10" ht="15.75">
      <c r="A2" s="50"/>
    </row>
    <row r="3" spans="1:10" ht="15.75">
      <c r="A3" s="50"/>
    </row>
    <row r="4" spans="1:10" ht="15.75">
      <c r="A4" s="50"/>
    </row>
    <row r="5" spans="1:10" ht="16.5">
      <c r="A5" s="676" t="s">
        <v>3017</v>
      </c>
      <c r="B5" s="676" t="s">
        <v>3018</v>
      </c>
      <c r="C5" s="676" t="s">
        <v>3017</v>
      </c>
      <c r="D5" s="676" t="s">
        <v>3018</v>
      </c>
      <c r="E5" s="676" t="s">
        <v>3017</v>
      </c>
      <c r="F5" s="676" t="s">
        <v>3018</v>
      </c>
      <c r="G5" s="676" t="s">
        <v>3017</v>
      </c>
      <c r="H5" s="676" t="s">
        <v>3019</v>
      </c>
      <c r="I5" s="676" t="s">
        <v>3017</v>
      </c>
      <c r="J5" s="676" t="s">
        <v>3018</v>
      </c>
    </row>
    <row r="6" spans="1:10" ht="16.5">
      <c r="A6" s="676">
        <v>1</v>
      </c>
      <c r="B6" s="676" t="s">
        <v>3020</v>
      </c>
      <c r="C6" s="676">
        <v>14</v>
      </c>
      <c r="D6" s="676" t="s">
        <v>3021</v>
      </c>
      <c r="E6" s="676">
        <v>26</v>
      </c>
      <c r="F6" s="676" t="s">
        <v>3022</v>
      </c>
      <c r="G6" s="676">
        <v>38</v>
      </c>
      <c r="H6" s="676" t="s">
        <v>3023</v>
      </c>
      <c r="I6" s="676">
        <v>50</v>
      </c>
      <c r="J6" s="676" t="s">
        <v>3024</v>
      </c>
    </row>
    <row r="7" spans="1:10" ht="16.5">
      <c r="A7" s="676">
        <v>2</v>
      </c>
      <c r="B7" s="676" t="s">
        <v>3025</v>
      </c>
      <c r="C7" s="676">
        <v>15</v>
      </c>
      <c r="D7" s="676" t="s">
        <v>3026</v>
      </c>
      <c r="E7" s="676">
        <v>27</v>
      </c>
      <c r="F7" s="676" t="s">
        <v>3027</v>
      </c>
      <c r="G7" s="676">
        <v>39</v>
      </c>
      <c r="H7" s="676" t="s">
        <v>3028</v>
      </c>
      <c r="I7" s="676">
        <v>51</v>
      </c>
      <c r="J7" s="676" t="s">
        <v>3029</v>
      </c>
    </row>
    <row r="8" spans="1:10" ht="16.5">
      <c r="A8" s="676">
        <v>3</v>
      </c>
      <c r="B8" s="676" t="s">
        <v>3030</v>
      </c>
      <c r="C8" s="676">
        <v>16</v>
      </c>
      <c r="D8" s="676" t="s">
        <v>3031</v>
      </c>
      <c r="E8" s="676">
        <v>28</v>
      </c>
      <c r="F8" s="676" t="s">
        <v>3032</v>
      </c>
      <c r="G8" s="676">
        <v>40</v>
      </c>
      <c r="H8" s="676" t="s">
        <v>3033</v>
      </c>
      <c r="I8" s="676">
        <v>52</v>
      </c>
      <c r="J8" s="676" t="s">
        <v>3034</v>
      </c>
    </row>
    <row r="9" spans="1:10" ht="16.5">
      <c r="A9" s="676">
        <v>4</v>
      </c>
      <c r="B9" s="676" t="s">
        <v>3035</v>
      </c>
      <c r="C9" s="676">
        <v>17</v>
      </c>
      <c r="D9" s="676" t="s">
        <v>3036</v>
      </c>
      <c r="E9" s="676">
        <v>29</v>
      </c>
      <c r="F9" s="676" t="s">
        <v>1239</v>
      </c>
      <c r="G9" s="676">
        <v>41</v>
      </c>
      <c r="H9" s="676" t="s">
        <v>3037</v>
      </c>
      <c r="I9" s="676">
        <v>53</v>
      </c>
      <c r="J9" s="1388" t="s">
        <v>3038</v>
      </c>
    </row>
    <row r="10" spans="1:10" ht="16.5">
      <c r="A10" s="676">
        <v>5</v>
      </c>
      <c r="B10" s="676" t="s">
        <v>3039</v>
      </c>
      <c r="C10" s="676">
        <v>18</v>
      </c>
      <c r="D10" s="676" t="s">
        <v>3040</v>
      </c>
      <c r="E10" s="676">
        <v>30</v>
      </c>
      <c r="F10" s="676" t="s">
        <v>3041</v>
      </c>
      <c r="G10" s="676">
        <v>42</v>
      </c>
      <c r="H10" s="676" t="s">
        <v>3042</v>
      </c>
      <c r="I10" s="676">
        <v>54</v>
      </c>
      <c r="J10" s="676" t="s">
        <v>3043</v>
      </c>
    </row>
    <row r="11" spans="1:10" ht="16.5">
      <c r="A11" s="676">
        <v>6</v>
      </c>
      <c r="B11" s="676" t="s">
        <v>3044</v>
      </c>
      <c r="C11" s="676">
        <v>19</v>
      </c>
      <c r="D11" s="676" t="s">
        <v>3045</v>
      </c>
      <c r="E11" s="676">
        <v>31</v>
      </c>
      <c r="F11" s="676" t="s">
        <v>3046</v>
      </c>
      <c r="G11" s="676">
        <v>43</v>
      </c>
      <c r="H11" s="676" t="s">
        <v>3047</v>
      </c>
      <c r="I11" s="676">
        <v>55</v>
      </c>
      <c r="J11" s="676" t="s">
        <v>3048</v>
      </c>
    </row>
    <row r="12" spans="1:10" ht="16.5">
      <c r="A12" s="676">
        <v>7</v>
      </c>
      <c r="B12" s="676" t="s">
        <v>3049</v>
      </c>
      <c r="C12" s="676">
        <v>20</v>
      </c>
      <c r="D12" s="676" t="s">
        <v>3050</v>
      </c>
      <c r="E12" s="676">
        <v>32</v>
      </c>
      <c r="F12" s="676" t="s">
        <v>3051</v>
      </c>
      <c r="G12" s="676">
        <v>44</v>
      </c>
      <c r="H12" s="676" t="s">
        <v>3052</v>
      </c>
      <c r="I12" s="676">
        <v>56</v>
      </c>
      <c r="J12" s="676" t="s">
        <v>3053</v>
      </c>
    </row>
    <row r="13" spans="1:10" ht="16.5">
      <c r="A13" s="676">
        <v>8</v>
      </c>
      <c r="B13" s="676" t="s">
        <v>1144</v>
      </c>
      <c r="C13" s="676">
        <v>21</v>
      </c>
      <c r="D13" s="676" t="s">
        <v>3054</v>
      </c>
      <c r="E13" s="676">
        <v>33</v>
      </c>
      <c r="F13" s="676" t="s">
        <v>3055</v>
      </c>
      <c r="G13" s="676">
        <v>45</v>
      </c>
      <c r="H13" s="676" t="s">
        <v>3056</v>
      </c>
      <c r="I13" s="676">
        <v>57</v>
      </c>
      <c r="J13" s="676" t="s">
        <v>3057</v>
      </c>
    </row>
    <row r="14" spans="1:10" ht="16.5">
      <c r="A14" s="676">
        <v>9</v>
      </c>
      <c r="B14" s="676" t="s">
        <v>3058</v>
      </c>
      <c r="C14" s="676">
        <v>22</v>
      </c>
      <c r="D14" s="676" t="s">
        <v>3059</v>
      </c>
      <c r="E14" s="676">
        <v>34</v>
      </c>
      <c r="F14" s="676" t="s">
        <v>3060</v>
      </c>
      <c r="G14" s="676">
        <v>46</v>
      </c>
      <c r="H14" s="676" t="s">
        <v>3061</v>
      </c>
      <c r="I14" s="676">
        <v>58</v>
      </c>
      <c r="J14" s="676" t="s">
        <v>3062</v>
      </c>
    </row>
    <row r="15" spans="1:10" ht="16.5">
      <c r="A15" s="676">
        <v>10</v>
      </c>
      <c r="B15" s="676" t="s">
        <v>3063</v>
      </c>
      <c r="C15" s="676">
        <v>23</v>
      </c>
      <c r="D15" s="676" t="s">
        <v>3064</v>
      </c>
      <c r="E15" s="676">
        <v>35</v>
      </c>
      <c r="F15" s="676" t="s">
        <v>3065</v>
      </c>
      <c r="G15" s="676">
        <v>47</v>
      </c>
      <c r="H15" s="676" t="s">
        <v>3066</v>
      </c>
      <c r="I15" s="676">
        <v>59</v>
      </c>
      <c r="J15" s="676" t="s">
        <v>3067</v>
      </c>
    </row>
    <row r="16" spans="1:10" ht="16.5">
      <c r="A16" s="676">
        <v>11</v>
      </c>
      <c r="B16" s="676" t="s">
        <v>3068</v>
      </c>
      <c r="C16" s="676">
        <v>24</v>
      </c>
      <c r="D16" s="676" t="s">
        <v>3069</v>
      </c>
      <c r="E16" s="676">
        <v>36</v>
      </c>
      <c r="F16" s="676" t="s">
        <v>3070</v>
      </c>
      <c r="G16" s="676">
        <v>48</v>
      </c>
      <c r="H16" s="676" t="s">
        <v>3071</v>
      </c>
      <c r="I16" s="676">
        <v>60</v>
      </c>
      <c r="J16" s="676" t="s">
        <v>3072</v>
      </c>
    </row>
    <row r="17" spans="1:10" ht="16.5">
      <c r="A17" s="676">
        <v>12</v>
      </c>
      <c r="B17" s="676" t="s">
        <v>3073</v>
      </c>
      <c r="C17" s="676">
        <v>25</v>
      </c>
      <c r="D17" s="676" t="s">
        <v>3074</v>
      </c>
      <c r="E17" s="676">
        <v>37</v>
      </c>
      <c r="F17" s="676" t="s">
        <v>3075</v>
      </c>
      <c r="G17" s="676">
        <v>49</v>
      </c>
      <c r="H17" s="676" t="s">
        <v>3076</v>
      </c>
      <c r="I17" s="676">
        <v>61</v>
      </c>
      <c r="J17" s="676" t="s">
        <v>3077</v>
      </c>
    </row>
    <row r="18" spans="1:10">
      <c r="A18" s="676">
        <v>13</v>
      </c>
      <c r="B18" s="676" t="s">
        <v>3078</v>
      </c>
      <c r="C18" s="676"/>
      <c r="D18" s="676"/>
      <c r="E18" s="676"/>
      <c r="F18" s="676"/>
      <c r="G18" s="676"/>
      <c r="H18" s="676"/>
      <c r="I18" s="676">
        <v>62</v>
      </c>
      <c r="J18" s="676" t="s">
        <v>3079</v>
      </c>
    </row>
    <row r="19" spans="1:10">
      <c r="A19" s="676"/>
      <c r="B19" s="676"/>
      <c r="C19" s="676"/>
      <c r="D19" s="676"/>
      <c r="E19" s="676"/>
      <c r="F19" s="676"/>
      <c r="G19" s="676"/>
      <c r="H19" s="676"/>
      <c r="I19" s="676">
        <v>63</v>
      </c>
      <c r="J19" s="676" t="s">
        <v>3080</v>
      </c>
    </row>
    <row r="20" spans="1:10">
      <c r="A20" s="676"/>
      <c r="B20" s="676"/>
      <c r="C20" s="676"/>
      <c r="D20" s="676"/>
      <c r="E20" s="676"/>
      <c r="F20" s="676"/>
      <c r="G20" s="676"/>
      <c r="H20" s="676"/>
      <c r="I20" s="676">
        <v>64</v>
      </c>
      <c r="J20" s="676" t="s">
        <v>3081</v>
      </c>
    </row>
    <row r="21" spans="1:10">
      <c r="A21" s="676"/>
      <c r="B21" s="676"/>
      <c r="C21" s="676"/>
      <c r="D21" s="676"/>
      <c r="E21" s="676"/>
      <c r="F21" s="676"/>
      <c r="G21" s="676"/>
      <c r="H21" s="676"/>
      <c r="I21" s="676">
        <v>65</v>
      </c>
      <c r="J21" s="676" t="s">
        <v>3082</v>
      </c>
    </row>
    <row r="22" spans="1:10">
      <c r="A22" s="676"/>
      <c r="B22" s="676"/>
      <c r="C22" s="676"/>
      <c r="D22" s="676"/>
      <c r="E22" s="676"/>
      <c r="F22" s="676"/>
      <c r="G22" s="676"/>
      <c r="H22" s="676"/>
      <c r="I22" s="676">
        <v>66</v>
      </c>
      <c r="J22" s="676" t="s">
        <v>3083</v>
      </c>
    </row>
    <row r="23" spans="1:10">
      <c r="A23" s="676"/>
      <c r="B23" s="676"/>
      <c r="C23" s="676"/>
      <c r="D23" s="676"/>
      <c r="E23" s="676"/>
      <c r="F23" s="676"/>
      <c r="G23" s="676"/>
      <c r="H23" s="676"/>
      <c r="I23" s="676">
        <v>67</v>
      </c>
      <c r="J23" s="676" t="s">
        <v>1222</v>
      </c>
    </row>
    <row r="24" spans="1:10">
      <c r="A24" s="676"/>
      <c r="B24" s="676"/>
      <c r="C24" s="676"/>
      <c r="D24" s="676"/>
      <c r="E24" s="676"/>
      <c r="F24" s="676"/>
      <c r="G24" s="676"/>
      <c r="H24" s="676"/>
      <c r="I24" s="676">
        <v>68</v>
      </c>
      <c r="J24" s="676" t="s">
        <v>3084</v>
      </c>
    </row>
    <row r="25" spans="1:10">
      <c r="A25" s="676"/>
      <c r="B25" s="676"/>
      <c r="C25" s="676"/>
      <c r="D25" s="676"/>
      <c r="E25" s="676"/>
      <c r="F25" s="676"/>
      <c r="G25" s="676"/>
      <c r="H25" s="676"/>
      <c r="I25" s="676"/>
      <c r="J25" s="676"/>
    </row>
  </sheetData>
  <pageMargins left="0.1" right="0.1" top="0.3" bottom="0.3" header="0.25" footer="0.25"/>
  <pageSetup orientation="landscape"/>
  <headerFooter>
    <oddFooter>&amp;C&amp;P</oddFooter>
  </headerFooter>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A00-000000000000}">
  <dimension ref="A1:H32"/>
  <sheetViews>
    <sheetView topLeftCell="A13" workbookViewId="0">
      <selection activeCell="A16" sqref="A16"/>
    </sheetView>
  </sheetViews>
  <sheetFormatPr defaultColWidth="8.85546875" defaultRowHeight="12.75"/>
  <cols>
    <col min="1" max="1" width="8.85546875" customWidth="1"/>
    <col min="2" max="2" width="14.42578125" customWidth="1"/>
    <col min="3" max="3" width="8.85546875" customWidth="1"/>
    <col min="4" max="4" width="15" bestFit="1" customWidth="1"/>
    <col min="5" max="5" width="8.85546875" customWidth="1"/>
    <col min="6" max="6" width="10.85546875" bestFit="1" customWidth="1"/>
    <col min="7" max="7" width="8.85546875" customWidth="1"/>
    <col min="8" max="8" width="19.140625" bestFit="1" customWidth="1"/>
    <col min="11" max="11" width="25.7109375" customWidth="1"/>
  </cols>
  <sheetData>
    <row r="1" spans="1:8" ht="15.75">
      <c r="A1" s="50" t="s">
        <v>3016</v>
      </c>
    </row>
    <row r="2" spans="1:8" ht="15.75">
      <c r="A2" s="50"/>
    </row>
    <row r="3" spans="1:8" ht="15.75">
      <c r="A3" s="50"/>
      <c r="H3" t="s">
        <v>3085</v>
      </c>
    </row>
    <row r="4" spans="1:8" ht="15.75">
      <c r="A4" s="50"/>
      <c r="H4" t="s">
        <v>3086</v>
      </c>
    </row>
    <row r="5" spans="1:8" ht="16.5">
      <c r="A5" s="676" t="s">
        <v>3017</v>
      </c>
      <c r="B5" s="676" t="s">
        <v>3018</v>
      </c>
      <c r="C5" s="676" t="s">
        <v>3017</v>
      </c>
      <c r="D5" s="676" t="s">
        <v>3018</v>
      </c>
      <c r="E5" s="676" t="s">
        <v>3017</v>
      </c>
      <c r="F5" s="676" t="s">
        <v>3018</v>
      </c>
      <c r="H5" t="s">
        <v>3087</v>
      </c>
    </row>
    <row r="6" spans="1:8" ht="16.5">
      <c r="A6" s="676">
        <v>1</v>
      </c>
      <c r="B6" s="676" t="s">
        <v>3020</v>
      </c>
      <c r="C6" s="676">
        <v>15</v>
      </c>
      <c r="D6" s="676" t="s">
        <v>3026</v>
      </c>
      <c r="E6" s="676">
        <v>33</v>
      </c>
      <c r="F6" s="676" t="s">
        <v>3055</v>
      </c>
      <c r="H6" t="s">
        <v>3088</v>
      </c>
    </row>
    <row r="7" spans="1:8" ht="16.5">
      <c r="A7" s="676">
        <v>2</v>
      </c>
      <c r="B7" s="676" t="s">
        <v>3025</v>
      </c>
      <c r="C7" s="676">
        <v>16</v>
      </c>
      <c r="D7" s="676" t="s">
        <v>3031</v>
      </c>
      <c r="E7" s="676">
        <v>34</v>
      </c>
      <c r="F7" s="676" t="s">
        <v>3060</v>
      </c>
      <c r="H7" t="s">
        <v>3089</v>
      </c>
    </row>
    <row r="8" spans="1:8" ht="16.5">
      <c r="A8" s="676">
        <v>3</v>
      </c>
      <c r="B8" s="676" t="s">
        <v>3030</v>
      </c>
      <c r="C8" s="676">
        <v>18</v>
      </c>
      <c r="D8" s="676" t="s">
        <v>3040</v>
      </c>
      <c r="E8" s="676">
        <v>35</v>
      </c>
      <c r="F8" s="676" t="s">
        <v>3065</v>
      </c>
      <c r="H8" t="s">
        <v>3090</v>
      </c>
    </row>
    <row r="9" spans="1:8" ht="16.5">
      <c r="A9" s="676">
        <v>4</v>
      </c>
      <c r="B9" s="676" t="s">
        <v>3035</v>
      </c>
      <c r="C9" s="676">
        <v>19</v>
      </c>
      <c r="D9" s="1388" t="s">
        <v>3091</v>
      </c>
      <c r="E9" s="676">
        <v>38</v>
      </c>
      <c r="F9" s="676" t="s">
        <v>3023</v>
      </c>
      <c r="H9" t="s">
        <v>3092</v>
      </c>
    </row>
    <row r="10" spans="1:8" ht="16.5">
      <c r="A10" s="676">
        <v>5</v>
      </c>
      <c r="B10" s="676" t="s">
        <v>3039</v>
      </c>
      <c r="C10" s="676">
        <v>24</v>
      </c>
      <c r="D10" s="676" t="s">
        <v>3069</v>
      </c>
      <c r="E10" s="676">
        <v>52</v>
      </c>
      <c r="F10" s="676" t="s">
        <v>3034</v>
      </c>
      <c r="H10" t="s">
        <v>3093</v>
      </c>
    </row>
    <row r="11" spans="1:8" ht="16.5">
      <c r="A11" s="676">
        <v>8</v>
      </c>
      <c r="B11" s="676" t="s">
        <v>1144</v>
      </c>
      <c r="C11" s="676">
        <v>25</v>
      </c>
      <c r="D11" s="676" t="s">
        <v>3074</v>
      </c>
      <c r="E11" s="676">
        <v>55</v>
      </c>
      <c r="F11" s="676" t="s">
        <v>3048</v>
      </c>
      <c r="H11" t="s">
        <v>3094</v>
      </c>
    </row>
    <row r="12" spans="1:8" ht="16.5">
      <c r="A12" s="676">
        <v>9</v>
      </c>
      <c r="B12" s="676" t="s">
        <v>3058</v>
      </c>
      <c r="C12" s="676">
        <v>28</v>
      </c>
      <c r="D12" s="676" t="s">
        <v>3032</v>
      </c>
      <c r="E12" s="676">
        <v>56</v>
      </c>
      <c r="F12" s="676" t="s">
        <v>3053</v>
      </c>
      <c r="H12" t="s">
        <v>3095</v>
      </c>
    </row>
    <row r="13" spans="1:8" ht="16.5">
      <c r="A13" s="676">
        <v>11</v>
      </c>
      <c r="B13" s="676" t="s">
        <v>3068</v>
      </c>
      <c r="C13" s="676">
        <v>29</v>
      </c>
      <c r="D13" s="676" t="s">
        <v>1239</v>
      </c>
      <c r="E13" s="676">
        <v>57</v>
      </c>
      <c r="F13" s="676" t="s">
        <v>3057</v>
      </c>
      <c r="H13" t="s">
        <v>3096</v>
      </c>
    </row>
    <row r="14" spans="1:8" ht="16.5">
      <c r="A14" s="676">
        <v>12</v>
      </c>
      <c r="B14" s="676" t="s">
        <v>3073</v>
      </c>
      <c r="C14" s="676">
        <v>30</v>
      </c>
      <c r="D14" s="676" t="s">
        <v>3041</v>
      </c>
      <c r="E14" s="676">
        <v>58</v>
      </c>
      <c r="F14" s="676" t="s">
        <v>3062</v>
      </c>
      <c r="H14" t="s">
        <v>3097</v>
      </c>
    </row>
    <row r="15" spans="1:8" ht="16.5">
      <c r="A15" s="676">
        <v>13</v>
      </c>
      <c r="B15" s="676" t="s">
        <v>3078</v>
      </c>
      <c r="C15" s="676">
        <v>31</v>
      </c>
      <c r="D15" s="676" t="s">
        <v>3046</v>
      </c>
      <c r="E15" s="676">
        <v>67</v>
      </c>
      <c r="F15" s="676" t="s">
        <v>1222</v>
      </c>
      <c r="H15" t="s">
        <v>3098</v>
      </c>
    </row>
    <row r="16" spans="1:8">
      <c r="A16" s="676">
        <v>14</v>
      </c>
      <c r="B16" s="676" t="s">
        <v>3021</v>
      </c>
      <c r="C16" s="676">
        <v>32</v>
      </c>
      <c r="D16" s="676" t="s">
        <v>3051</v>
      </c>
      <c r="H16" t="s">
        <v>3099</v>
      </c>
    </row>
    <row r="17" spans="8:8">
      <c r="H17" t="s">
        <v>3100</v>
      </c>
    </row>
    <row r="18" spans="8:8">
      <c r="H18" t="s">
        <v>3101</v>
      </c>
    </row>
    <row r="19" spans="8:8">
      <c r="H19" t="s">
        <v>3102</v>
      </c>
    </row>
    <row r="20" spans="8:8">
      <c r="H20" t="s">
        <v>3103</v>
      </c>
    </row>
    <row r="21" spans="8:8">
      <c r="H21" t="s">
        <v>3104</v>
      </c>
    </row>
    <row r="22" spans="8:8">
      <c r="H22" t="s">
        <v>3105</v>
      </c>
    </row>
    <row r="23" spans="8:8">
      <c r="H23" t="s">
        <v>3106</v>
      </c>
    </row>
    <row r="24" spans="8:8">
      <c r="H24" t="s">
        <v>3107</v>
      </c>
    </row>
    <row r="25" spans="8:8">
      <c r="H25" t="s">
        <v>3108</v>
      </c>
    </row>
    <row r="26" spans="8:8">
      <c r="H26" t="s">
        <v>3109</v>
      </c>
    </row>
    <row r="27" spans="8:8">
      <c r="H27" t="s">
        <v>3110</v>
      </c>
    </row>
    <row r="28" spans="8:8">
      <c r="H28" t="s">
        <v>3111</v>
      </c>
    </row>
    <row r="29" spans="8:8">
      <c r="H29" t="s">
        <v>3112</v>
      </c>
    </row>
    <row r="30" spans="8:8">
      <c r="H30" t="s">
        <v>3113</v>
      </c>
    </row>
    <row r="31" spans="8:8">
      <c r="H31" t="s">
        <v>3114</v>
      </c>
    </row>
    <row r="32" spans="8:8">
      <c r="H32" t="s">
        <v>3115</v>
      </c>
    </row>
  </sheetData>
  <pageMargins left="0.1" right="0.1" top="0.3" bottom="0.3" header="0.25" footer="0.25"/>
  <pageSetup orientation="landscape" r:id="rId1"/>
  <headerFooter>
    <oddFooter>&amp;C&amp;P</oddFooter>
  </headerFooter>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B00-000000000000}">
  <dimension ref="A1:J32"/>
  <sheetViews>
    <sheetView view="pageBreakPreview" zoomScale="90" zoomScaleNormal="100" zoomScaleSheetLayoutView="90" workbookViewId="0"/>
  </sheetViews>
  <sheetFormatPr defaultColWidth="9.140625" defaultRowHeight="12.75"/>
  <cols>
    <col min="1" max="1" width="2.85546875" customWidth="1"/>
    <col min="2" max="10" width="12.7109375" customWidth="1"/>
  </cols>
  <sheetData>
    <row r="1" spans="1:10" s="1" customFormat="1" ht="30" customHeight="1">
      <c r="A1" s="6"/>
      <c r="B1" s="3132" t="s">
        <v>3116</v>
      </c>
      <c r="C1" s="3133"/>
      <c r="D1" s="3133"/>
      <c r="E1" s="3133"/>
      <c r="F1" s="3133"/>
      <c r="G1" s="3133"/>
      <c r="H1" s="3133"/>
      <c r="I1" s="3133"/>
      <c r="J1" s="3134"/>
    </row>
    <row r="2" spans="1:10" s="1" customFormat="1" ht="15">
      <c r="A2" s="6"/>
      <c r="B2" s="2"/>
      <c r="C2" s="3"/>
      <c r="D2" s="3"/>
      <c r="E2" s="3"/>
      <c r="F2" s="3"/>
      <c r="G2" s="3"/>
      <c r="H2" s="3"/>
      <c r="I2" s="3"/>
      <c r="J2" s="4"/>
    </row>
    <row r="3" spans="1:10" s="1" customFormat="1" ht="15">
      <c r="A3" s="6"/>
      <c r="B3" s="5"/>
      <c r="C3" s="6"/>
      <c r="D3" s="6"/>
      <c r="E3" s="6"/>
      <c r="F3" s="6"/>
      <c r="G3" s="6"/>
      <c r="H3" s="6"/>
      <c r="I3" s="6"/>
      <c r="J3" s="7"/>
    </row>
    <row r="4" spans="1:10" s="1" customFormat="1" ht="15">
      <c r="A4" s="6"/>
      <c r="B4" s="5"/>
      <c r="C4" s="6"/>
      <c r="D4" s="6"/>
      <c r="E4" s="6"/>
      <c r="F4" s="6"/>
      <c r="G4" s="6"/>
      <c r="H4" s="6"/>
      <c r="I4" s="6"/>
      <c r="J4" s="7"/>
    </row>
    <row r="5" spans="1:10" s="1" customFormat="1" ht="15">
      <c r="A5" s="6"/>
      <c r="B5" s="5"/>
      <c r="C5" s="6"/>
      <c r="D5" s="6"/>
      <c r="E5" s="6"/>
      <c r="F5" s="6"/>
      <c r="G5" s="6"/>
      <c r="H5" s="6"/>
      <c r="I5" s="6"/>
      <c r="J5" s="7"/>
    </row>
    <row r="6" spans="1:10" s="1" customFormat="1" ht="15">
      <c r="A6" s="6"/>
      <c r="B6" s="5"/>
      <c r="C6" s="6"/>
      <c r="D6" s="6"/>
      <c r="E6" s="6"/>
      <c r="F6" s="6"/>
      <c r="G6" s="6"/>
      <c r="H6" s="6"/>
      <c r="I6" s="6"/>
      <c r="J6" s="7"/>
    </row>
    <row r="7" spans="1:10" s="1" customFormat="1" ht="15">
      <c r="A7" s="6"/>
      <c r="B7" s="5"/>
      <c r="C7" s="6"/>
      <c r="D7" s="6"/>
      <c r="E7" s="6"/>
      <c r="F7" s="6"/>
      <c r="G7" s="6"/>
      <c r="H7" s="6"/>
      <c r="I7" s="6"/>
      <c r="J7" s="7"/>
    </row>
    <row r="8" spans="1:10" s="1" customFormat="1" ht="15">
      <c r="A8" s="6"/>
      <c r="B8" s="5"/>
      <c r="C8" s="6"/>
      <c r="D8" s="6"/>
      <c r="E8" s="6"/>
      <c r="F8" s="6"/>
      <c r="G8" s="6"/>
      <c r="H8" s="6"/>
      <c r="I8" s="6"/>
      <c r="J8" s="7"/>
    </row>
    <row r="9" spans="1:10" s="1" customFormat="1" ht="15">
      <c r="A9" s="6"/>
      <c r="B9" s="5"/>
      <c r="C9" s="6"/>
      <c r="D9" s="6"/>
      <c r="E9" s="6"/>
      <c r="F9" s="6"/>
      <c r="G9" s="6"/>
      <c r="H9" s="6"/>
      <c r="I9" s="6"/>
      <c r="J9" s="7"/>
    </row>
    <row r="10" spans="1:10" s="1" customFormat="1" ht="15">
      <c r="A10" s="6"/>
      <c r="B10" s="5"/>
      <c r="C10" s="6"/>
      <c r="D10" s="6"/>
      <c r="E10" s="6"/>
      <c r="F10" s="6"/>
      <c r="G10" s="6"/>
      <c r="H10" s="6"/>
      <c r="I10" s="6"/>
      <c r="J10" s="7"/>
    </row>
    <row r="11" spans="1:10" s="1" customFormat="1" ht="15">
      <c r="A11" s="6"/>
      <c r="B11" s="5"/>
      <c r="C11" s="6"/>
      <c r="D11" s="6"/>
      <c r="E11" s="6"/>
      <c r="F11" s="6"/>
      <c r="G11" s="6"/>
      <c r="H11" s="6"/>
      <c r="I11" s="6"/>
      <c r="J11" s="7"/>
    </row>
    <row r="12" spans="1:10" s="1" customFormat="1" ht="15">
      <c r="A12" s="6"/>
      <c r="B12" s="5"/>
      <c r="C12" s="6"/>
      <c r="D12" s="6"/>
      <c r="E12" s="6"/>
      <c r="F12" s="6"/>
      <c r="G12" s="6"/>
      <c r="H12" s="6"/>
      <c r="I12" s="6"/>
      <c r="J12" s="7"/>
    </row>
    <row r="13" spans="1:10" s="1" customFormat="1" ht="15">
      <c r="A13" s="6"/>
      <c r="B13" s="5"/>
      <c r="C13" s="6"/>
      <c r="D13" s="6"/>
      <c r="E13" s="6"/>
      <c r="F13" s="6"/>
      <c r="G13" s="6"/>
      <c r="H13" s="6"/>
      <c r="I13" s="6"/>
      <c r="J13" s="7"/>
    </row>
    <row r="14" spans="1:10" s="1" customFormat="1" ht="15">
      <c r="A14" s="6"/>
      <c r="B14" s="5"/>
      <c r="C14" s="6"/>
      <c r="D14" s="6"/>
      <c r="E14" s="6"/>
      <c r="F14" s="6"/>
      <c r="G14" s="6"/>
      <c r="H14" s="6"/>
      <c r="I14" s="6"/>
      <c r="J14" s="7"/>
    </row>
    <row r="15" spans="1:10" s="1" customFormat="1" ht="15">
      <c r="A15" s="6"/>
      <c r="B15" s="5"/>
      <c r="C15" s="6"/>
      <c r="D15" s="6"/>
      <c r="E15" s="6"/>
      <c r="F15" s="6"/>
      <c r="G15" s="6"/>
      <c r="H15" s="6"/>
      <c r="I15" s="6"/>
      <c r="J15" s="7"/>
    </row>
    <row r="16" spans="1:10" s="1" customFormat="1" ht="15">
      <c r="A16" s="6"/>
      <c r="B16" s="5"/>
      <c r="C16" s="6"/>
      <c r="D16" s="6"/>
      <c r="E16" s="6"/>
      <c r="F16" s="6"/>
      <c r="G16" s="6"/>
      <c r="H16" s="6"/>
      <c r="I16" s="6"/>
      <c r="J16" s="7"/>
    </row>
    <row r="17" spans="1:10" s="1" customFormat="1" ht="15">
      <c r="A17" s="6"/>
      <c r="B17" s="5"/>
      <c r="C17" s="6"/>
      <c r="D17" s="6"/>
      <c r="E17" s="6"/>
      <c r="F17" s="6"/>
      <c r="G17" s="6"/>
      <c r="H17" s="6"/>
      <c r="I17" s="6"/>
      <c r="J17" s="7"/>
    </row>
    <row r="18" spans="1:10" s="1" customFormat="1" ht="15">
      <c r="A18" s="6"/>
      <c r="B18" s="5"/>
      <c r="C18" s="6"/>
      <c r="D18" s="6"/>
      <c r="E18" s="6"/>
      <c r="F18" s="6"/>
      <c r="G18" s="6"/>
      <c r="H18" s="6"/>
      <c r="I18" s="6"/>
      <c r="J18" s="7"/>
    </row>
    <row r="19" spans="1:10" s="1" customFormat="1" ht="15">
      <c r="A19" s="6"/>
      <c r="B19" s="5"/>
      <c r="C19" s="6"/>
      <c r="D19" s="6"/>
      <c r="E19" s="6"/>
      <c r="F19" s="6"/>
      <c r="G19" s="6"/>
      <c r="H19" s="6"/>
      <c r="I19" s="6"/>
      <c r="J19" s="7"/>
    </row>
    <row r="20" spans="1:10" s="1" customFormat="1" ht="15">
      <c r="A20" s="6"/>
      <c r="B20" s="5"/>
      <c r="C20" s="6"/>
      <c r="D20" s="6"/>
      <c r="E20" s="6"/>
      <c r="F20" s="6"/>
      <c r="G20" s="6"/>
      <c r="H20" s="6"/>
      <c r="I20" s="6"/>
      <c r="J20" s="7"/>
    </row>
    <row r="21" spans="1:10" s="1" customFormat="1" ht="15">
      <c r="A21" s="6"/>
      <c r="B21" s="5"/>
      <c r="C21" s="6"/>
      <c r="D21" s="6"/>
      <c r="E21" s="6"/>
      <c r="F21" s="6"/>
      <c r="G21" s="6"/>
      <c r="H21" s="6"/>
      <c r="I21" s="6"/>
      <c r="J21" s="7"/>
    </row>
    <row r="22" spans="1:10" s="1" customFormat="1" ht="15">
      <c r="A22" s="6"/>
      <c r="B22" s="5"/>
      <c r="C22" s="6"/>
      <c r="D22" s="6"/>
      <c r="E22" s="6"/>
      <c r="F22" s="6"/>
      <c r="G22" s="6"/>
      <c r="H22" s="6"/>
      <c r="I22" s="6"/>
      <c r="J22" s="7"/>
    </row>
    <row r="23" spans="1:10" s="1" customFormat="1" ht="15">
      <c r="A23" s="6"/>
      <c r="B23" s="5"/>
      <c r="C23" s="6"/>
      <c r="D23" s="6"/>
      <c r="E23" s="6"/>
      <c r="F23" s="6"/>
      <c r="G23" s="6"/>
      <c r="H23" s="6"/>
      <c r="I23" s="6"/>
      <c r="J23" s="7"/>
    </row>
    <row r="24" spans="1:10" s="1" customFormat="1" ht="15">
      <c r="A24" s="6"/>
      <c r="B24" s="5"/>
      <c r="C24" s="6"/>
      <c r="D24" s="6"/>
      <c r="E24" s="6"/>
      <c r="F24" s="6"/>
      <c r="G24" s="6"/>
      <c r="H24" s="6"/>
      <c r="I24" s="6"/>
      <c r="J24" s="7"/>
    </row>
    <row r="25" spans="1:10" s="1" customFormat="1" ht="15">
      <c r="A25" s="6"/>
      <c r="B25" s="5"/>
      <c r="C25" s="6"/>
      <c r="D25" s="6"/>
      <c r="E25" s="6"/>
      <c r="F25" s="6"/>
      <c r="G25" s="6"/>
      <c r="H25" s="6"/>
      <c r="I25" s="6"/>
      <c r="J25" s="7"/>
    </row>
    <row r="26" spans="1:10" s="1" customFormat="1" ht="15">
      <c r="A26" s="6"/>
      <c r="B26" s="5"/>
      <c r="C26" s="6"/>
      <c r="D26" s="6"/>
      <c r="E26" s="6"/>
      <c r="F26" s="6"/>
      <c r="G26" s="6"/>
      <c r="H26" s="6"/>
      <c r="I26" s="6"/>
      <c r="J26" s="7"/>
    </row>
    <row r="27" spans="1:10" s="1" customFormat="1" ht="15">
      <c r="A27" s="6"/>
      <c r="B27" s="5"/>
      <c r="C27" s="6"/>
      <c r="D27" s="6"/>
      <c r="E27" s="6"/>
      <c r="F27" s="6"/>
      <c r="G27" s="6"/>
      <c r="H27" s="6"/>
      <c r="I27" s="6"/>
      <c r="J27" s="7"/>
    </row>
    <row r="28" spans="1:10" s="1" customFormat="1" ht="15">
      <c r="A28" s="6"/>
      <c r="B28" s="5"/>
      <c r="C28" s="6"/>
      <c r="D28" s="6"/>
      <c r="E28" s="6"/>
      <c r="F28" s="6"/>
      <c r="G28" s="6"/>
      <c r="H28" s="6"/>
      <c r="I28" s="6"/>
      <c r="J28" s="7"/>
    </row>
    <row r="29" spans="1:10" s="1" customFormat="1" ht="15">
      <c r="A29" s="6"/>
      <c r="B29" s="5"/>
      <c r="C29" s="6"/>
      <c r="D29" s="6"/>
      <c r="E29" s="6"/>
      <c r="F29" s="6"/>
      <c r="G29" s="6"/>
      <c r="H29" s="6"/>
      <c r="I29" s="6"/>
      <c r="J29" s="7"/>
    </row>
    <row r="30" spans="1:10" s="1" customFormat="1" ht="15">
      <c r="A30" s="6"/>
      <c r="B30" s="5"/>
      <c r="C30" s="6"/>
      <c r="D30" s="6"/>
      <c r="E30" s="6"/>
      <c r="F30" s="6"/>
      <c r="G30" s="6"/>
      <c r="H30" s="6"/>
      <c r="I30" s="6"/>
      <c r="J30" s="7"/>
    </row>
    <row r="31" spans="1:10" s="1" customFormat="1" ht="15">
      <c r="A31" s="6"/>
      <c r="B31" s="5"/>
      <c r="C31" s="6"/>
      <c r="D31" s="6"/>
      <c r="E31" s="6"/>
      <c r="F31" s="6"/>
      <c r="G31" s="6"/>
      <c r="H31" s="6"/>
      <c r="I31" s="6"/>
      <c r="J31" s="7"/>
    </row>
    <row r="32" spans="1:10" s="1" customFormat="1" ht="15">
      <c r="A32" s="7"/>
      <c r="B32" s="8"/>
      <c r="C32" s="9"/>
      <c r="D32" s="9"/>
      <c r="E32" s="9"/>
      <c r="F32" s="9"/>
      <c r="G32" s="9"/>
      <c r="H32" s="9"/>
      <c r="I32" s="9"/>
      <c r="J32" s="10"/>
    </row>
  </sheetData>
  <customSheetViews>
    <customSheetView guid="{9C153D9E-615C-443B-9CD7-551163282F03}" scale="90" showPageBreaks="1" view="pageBreakPreview">
      <pageMargins left="0" right="0" top="0" bottom="0" header="0" footer="0"/>
      <pageSetup firstPageNumber="56" orientation="landscape" r:id="rId1"/>
      <headerFooter>
        <oddFooter>&amp;C&amp;P</oddFooter>
      </headerFooter>
    </customSheetView>
    <customSheetView guid="{BE9F68F7-D81B-4526-9959-D871EC50BDFF}" scale="90" showPageBreaks="1" view="pageBreakPreview">
      <pageMargins left="0" right="0" top="0" bottom="0" header="0" footer="0"/>
      <pageSetup firstPageNumber="56" orientation="landscape" r:id="rId2"/>
      <headerFooter>
        <oddFooter>&amp;C&amp;P</oddFooter>
      </headerFooter>
    </customSheetView>
    <customSheetView guid="{EF790C5B-80DA-4544-9EB7-EFE0323B2298}" scale="90" showPageBreaks="1" view="pageBreakPreview">
      <pageMargins left="0" right="0" top="0" bottom="0" header="0" footer="0"/>
      <pageSetup firstPageNumber="56" orientation="landscape" r:id="rId3"/>
      <headerFooter>
        <oddFooter>&amp;C&amp;P</oddFooter>
      </headerFooter>
    </customSheetView>
    <customSheetView guid="{C9D2DBB1-CD01-4732-8C86-64BE16C94753}" scale="90" showPageBreaks="1" view="pageBreakPreview">
      <pageMargins left="0" right="0" top="0" bottom="0" header="0" footer="0"/>
      <pageSetup firstPageNumber="56" orientation="landscape" r:id="rId4"/>
      <headerFooter>
        <oddFooter>&amp;C&amp;P</oddFooter>
      </headerFooter>
    </customSheetView>
    <customSheetView guid="{BFEC163F-7C4E-49B7-9F32-15225772E72F}" scale="90" showPageBreaks="1" view="pageBreakPreview">
      <pageMargins left="0" right="0" top="0" bottom="0" header="0" footer="0"/>
      <pageSetup firstPageNumber="56" orientation="landscape" r:id="rId5"/>
      <headerFooter>
        <oddFooter>&amp;C&amp;P</oddFooter>
      </headerFooter>
    </customSheetView>
    <customSheetView guid="{5529DB6B-163A-4048-9107-267B30B97DF3}" scale="90" showPageBreaks="1" view="pageBreakPreview">
      <pageMargins left="0" right="0" top="0" bottom="0" header="0" footer="0"/>
      <pageSetup firstPageNumber="56" orientation="landscape" r:id="rId6"/>
      <headerFooter>
        <oddFooter>&amp;C&amp;P</oddFooter>
      </headerFooter>
    </customSheetView>
    <customSheetView guid="{9B0763AA-FA4B-479A-900C-C113E8BEEFEB}" scale="90" showPageBreaks="1" view="pageBreakPreview">
      <pageMargins left="0" right="0" top="0" bottom="0" header="0" footer="0"/>
      <pageSetup firstPageNumber="56" orientation="landscape" r:id="rId7"/>
      <headerFooter>
        <oddFooter>&amp;C&amp;P</oddFooter>
      </headerFooter>
    </customSheetView>
    <customSheetView guid="{89903799-8228-4A6D-8A81-7F80BC61226D}" scale="90" showPageBreaks="1" view="pageBreakPreview">
      <pageMargins left="0" right="0" top="0" bottom="0" header="0" footer="0"/>
      <pageSetup firstPageNumber="56" orientation="landscape" r:id="rId8"/>
      <headerFooter>
        <oddFooter>&amp;C&amp;P</oddFooter>
      </headerFooter>
    </customSheetView>
    <customSheetView guid="{2524630E-605A-4616-AD5D-6CF7B1E9752C}" scale="90" showPageBreaks="1" view="pageBreakPreview">
      <pageMargins left="0" right="0" top="0" bottom="0" header="0" footer="0"/>
      <pageSetup firstPageNumber="56" orientation="landscape" r:id="rId9"/>
      <headerFooter>
        <oddFooter>&amp;C&amp;P</oddFooter>
      </headerFooter>
    </customSheetView>
  </customSheetViews>
  <mergeCells count="1">
    <mergeCell ref="B1:J1"/>
  </mergeCells>
  <pageMargins left="0.314" right="0.314" top="0.11799999999999999" bottom="0.27500000000000002" header="0.157" footer="0.11799999999999999"/>
  <pageSetup firstPageNumber="56" orientation="landscape" r:id="rId10"/>
  <headerFooter>
    <oddFooter>&amp;C&amp;P</oddFooter>
  </headerFooter>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3C00-000000000000}">
  <dimension ref="A2:A9"/>
  <sheetViews>
    <sheetView zoomScale="120" zoomScaleNormal="120" workbookViewId="0">
      <selection activeCell="D2" sqref="D2:H31"/>
    </sheetView>
  </sheetViews>
  <sheetFormatPr defaultColWidth="9.140625" defaultRowHeight="12.75"/>
  <cols>
    <col min="1" max="1" width="27.7109375" customWidth="1"/>
  </cols>
  <sheetData>
    <row r="2" spans="1:1" ht="13.5">
      <c r="A2" s="94" t="s">
        <v>3117</v>
      </c>
    </row>
    <row r="3" spans="1:1" ht="13.5">
      <c r="A3" s="94" t="s">
        <v>3118</v>
      </c>
    </row>
    <row r="4" spans="1:1" ht="13.5">
      <c r="A4" s="95" t="s">
        <v>3119</v>
      </c>
    </row>
    <row r="5" spans="1:1" ht="13.5">
      <c r="A5" s="99" t="s">
        <v>3120</v>
      </c>
    </row>
    <row r="6" spans="1:1" ht="13.5">
      <c r="A6" s="95" t="s">
        <v>3121</v>
      </c>
    </row>
    <row r="7" spans="1:1" ht="13.5">
      <c r="A7" s="99" t="s">
        <v>3122</v>
      </c>
    </row>
    <row r="8" spans="1:1" ht="13.5">
      <c r="A8" s="96" t="s">
        <v>3123</v>
      </c>
    </row>
    <row r="9" spans="1:1" ht="13.5">
      <c r="A9" s="94" t="s">
        <v>3124</v>
      </c>
    </row>
  </sheetData>
  <customSheetViews>
    <customSheetView guid="{9C153D9E-615C-443B-9CD7-551163282F03}" scale="120">
      <selection activeCell="A2" sqref="A2:A9"/>
      <pageMargins left="0" right="0" top="0" bottom="0" header="0" footer="0"/>
    </customSheetView>
    <customSheetView guid="{BE9F68F7-D81B-4526-9959-D871EC50BDFF}" scale="120">
      <selection activeCell="A2" sqref="A2:A9"/>
      <pageMargins left="0" right="0" top="0" bottom="0" header="0" footer="0"/>
    </customSheetView>
    <customSheetView guid="{EF790C5B-80DA-4544-9EB7-EFE0323B2298}" scale="120">
      <selection activeCell="A2" sqref="A2:A9"/>
      <pageMargins left="0" right="0" top="0" bottom="0" header="0" footer="0"/>
    </customSheetView>
    <customSheetView guid="{89903799-8228-4A6D-8A81-7F80BC61226D}" scale="120">
      <selection activeCell="A2" sqref="A2:A9"/>
      <pageMargins left="0" right="0" top="0" bottom="0" header="0" footer="0"/>
    </customSheetView>
    <customSheetView guid="{2524630E-605A-4616-AD5D-6CF7B1E9752C}" scale="120">
      <selection activeCell="A2" sqref="A2:A9"/>
      <pageMargins left="0" right="0" top="0" bottom="0" header="0" footer="0"/>
    </customSheetView>
  </customSheetViews>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INSTAT</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Asus</dc:creator>
  <cp:keywords/>
  <dc:description/>
  <cp:lastModifiedBy/>
  <cp:revision/>
  <dcterms:created xsi:type="dcterms:W3CDTF">2001-08-22T05:46:55Z</dcterms:created>
  <dcterms:modified xsi:type="dcterms:W3CDTF">2023-11-21T10:23:57Z</dcterms:modified>
  <cp:category/>
  <cp:contentStatus/>
</cp:coreProperties>
</file>